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Marketing\Produktmanagement\11_Produkte\51_VeriSens P2\15_Product_Life\10_VeriSensTools\"/>
    </mc:Choice>
  </mc:AlternateContent>
  <workbookProtection workbookAlgorithmName="SHA-512" workbookHashValue="kc4tTGwsW0f9e4nkD1E71famj7mp6il6w0ifNYGs2ld/fL4VHOQFD9i/OPtoUHY5kGWaZYOjJ4jgj0lvSD8YAg==" workbookSaltValue="HSrvRXG6ki8XRgbisPZKzw==" workbookSpinCount="100000" lockStructure="1"/>
  <bookViews>
    <workbookView xWindow="270" yWindow="315" windowWidth="19320" windowHeight="12060" tabRatio="758"/>
  </bookViews>
  <sheets>
    <sheet name="Copyright" sheetId="26" r:id="rId1"/>
    <sheet name="Lens" sheetId="11" r:id="rId2"/>
    <sheet name="Illumination" sheetId="21" r:id="rId3"/>
    <sheet name="Illumination Color" sheetId="20" r:id="rId4"/>
    <sheet name="InMotionUnsharpnessCalculator" sheetId="23" state="hidden" r:id="rId5"/>
    <sheet name="Berechnung InMotionUnsharpness" sheetId="25" state="hidden" r:id="rId6"/>
    <sheet name="Berechnung OpticFinder" sheetId="12" state="hidden" r:id="rId7"/>
    <sheet name="HW Daten" sheetId="16" state="hidden" r:id="rId8"/>
    <sheet name="Berechnung IlluFinder" sheetId="22" state="hidden" r:id="rId9"/>
    <sheet name="Tabelle1" sheetId="27" state="hidden" r:id="rId10"/>
  </sheets>
  <definedNames>
    <definedName name="_xlnm._FilterDatabase" localSheetId="1" hidden="1">Lens!$C$24:$G$26</definedName>
  </definedNames>
  <calcPr calcId="162913"/>
</workbook>
</file>

<file path=xl/calcChain.xml><?xml version="1.0" encoding="utf-8"?>
<calcChain xmlns="http://schemas.openxmlformats.org/spreadsheetml/2006/main">
  <c r="N55" i="11" l="1"/>
  <c r="L55" i="11"/>
  <c r="H188" i="12" l="1"/>
  <c r="J7" i="16" l="1"/>
  <c r="B83" i="12" l="1"/>
  <c r="C83" i="12"/>
  <c r="D83" i="12"/>
  <c r="E83" i="12"/>
  <c r="F83" i="12"/>
  <c r="H83" i="12"/>
  <c r="I83" i="12"/>
  <c r="J83" i="12"/>
  <c r="B84" i="12"/>
  <c r="C84" i="12"/>
  <c r="D84" i="12"/>
  <c r="E84" i="12"/>
  <c r="D63" i="12" s="1"/>
  <c r="F84" i="12"/>
  <c r="G84" i="12"/>
  <c r="H84" i="12"/>
  <c r="I84" i="12"/>
  <c r="J84" i="12"/>
  <c r="B85" i="12"/>
  <c r="C85" i="12"/>
  <c r="D85" i="12"/>
  <c r="E85" i="12"/>
  <c r="B64" i="12" s="1"/>
  <c r="F85" i="12"/>
  <c r="H85" i="12"/>
  <c r="I85" i="12"/>
  <c r="J85" i="12"/>
  <c r="B86" i="12"/>
  <c r="C86" i="12"/>
  <c r="D86" i="12"/>
  <c r="E86" i="12"/>
  <c r="B65" i="12" s="1"/>
  <c r="F86" i="12"/>
  <c r="H86" i="12"/>
  <c r="I86" i="12"/>
  <c r="J86" i="12"/>
  <c r="B87" i="12"/>
  <c r="C87" i="12"/>
  <c r="D87" i="12"/>
  <c r="E87" i="12"/>
  <c r="B66" i="12" s="1"/>
  <c r="F87" i="12"/>
  <c r="H87" i="12"/>
  <c r="I87" i="12"/>
  <c r="J87" i="12"/>
  <c r="B88" i="12"/>
  <c r="C88" i="12"/>
  <c r="D88" i="12"/>
  <c r="E88" i="12"/>
  <c r="B67" i="12" s="1"/>
  <c r="F88" i="12"/>
  <c r="H88" i="12"/>
  <c r="I88" i="12"/>
  <c r="J88" i="12"/>
  <c r="B89" i="12"/>
  <c r="C89" i="12"/>
  <c r="D89" i="12"/>
  <c r="E89" i="12"/>
  <c r="B68" i="12" s="1"/>
  <c r="F89" i="12"/>
  <c r="H89" i="12"/>
  <c r="I89" i="12"/>
  <c r="J89" i="12"/>
  <c r="B90" i="12"/>
  <c r="C90" i="12"/>
  <c r="D90" i="12"/>
  <c r="E90" i="12"/>
  <c r="C69" i="12" s="1"/>
  <c r="F90" i="12"/>
  <c r="H90" i="12"/>
  <c r="I90" i="12"/>
  <c r="J90" i="12"/>
  <c r="B91" i="12"/>
  <c r="C91" i="12"/>
  <c r="D91" i="12"/>
  <c r="E91" i="12"/>
  <c r="B70" i="12" s="1"/>
  <c r="F91" i="12"/>
  <c r="H91" i="12"/>
  <c r="I91" i="12"/>
  <c r="J91" i="12"/>
  <c r="J95" i="12"/>
  <c r="K95" i="12"/>
  <c r="J96" i="12"/>
  <c r="K96" i="12"/>
  <c r="J97" i="12"/>
  <c r="K97" i="12"/>
  <c r="D95" i="12"/>
  <c r="E95" i="12"/>
  <c r="F95" i="12"/>
  <c r="G95" i="12"/>
  <c r="D96" i="12"/>
  <c r="E96" i="12"/>
  <c r="F96" i="12"/>
  <c r="G96" i="12"/>
  <c r="D97" i="12"/>
  <c r="E97" i="12"/>
  <c r="F97" i="12"/>
  <c r="G97" i="12"/>
  <c r="D70" i="12" l="1"/>
  <c r="B69" i="12"/>
  <c r="D67" i="12"/>
  <c r="D64" i="12"/>
  <c r="C70" i="12"/>
  <c r="D68" i="12"/>
  <c r="D66" i="12"/>
  <c r="C64" i="12"/>
  <c r="C68" i="12"/>
  <c r="C66" i="12"/>
  <c r="D69" i="12"/>
  <c r="C67" i="12"/>
  <c r="D65" i="12"/>
  <c r="C65" i="12"/>
  <c r="K84" i="12"/>
  <c r="C63" i="12"/>
  <c r="B63" i="12"/>
  <c r="B95" i="12"/>
  <c r="B96" i="12"/>
  <c r="B97" i="12"/>
  <c r="H6" i="11" l="1"/>
  <c r="H7" i="11" s="1"/>
  <c r="H209" i="12" l="1"/>
  <c r="H210" i="12"/>
  <c r="H211" i="12"/>
  <c r="H212" i="12"/>
  <c r="G210" i="12"/>
  <c r="G211" i="12"/>
  <c r="G212" i="12"/>
  <c r="G209" i="12"/>
  <c r="H208" i="12"/>
  <c r="G208" i="12"/>
  <c r="J74" i="12"/>
  <c r="I74" i="12"/>
  <c r="H74" i="12"/>
  <c r="G74" i="12"/>
  <c r="A210" i="12" l="1"/>
  <c r="A211" i="12"/>
  <c r="A212" i="12"/>
  <c r="A209" i="12"/>
  <c r="D208" i="12"/>
  <c r="C208" i="12"/>
  <c r="A165" i="12" l="1"/>
  <c r="A166" i="12"/>
  <c r="A167" i="12"/>
  <c r="A164" i="12"/>
  <c r="G201" i="12" l="1"/>
  <c r="H201" i="12"/>
  <c r="G202" i="12"/>
  <c r="H202" i="12"/>
  <c r="G203" i="12"/>
  <c r="H203" i="12"/>
  <c r="H200" i="12"/>
  <c r="G200" i="12"/>
  <c r="B201" i="12"/>
  <c r="C201" i="12"/>
  <c r="B202" i="12"/>
  <c r="C202" i="12"/>
  <c r="B203" i="12"/>
  <c r="C203" i="12"/>
  <c r="C200" i="12"/>
  <c r="C199" i="12"/>
  <c r="B200" i="12"/>
  <c r="B199" i="12"/>
  <c r="A201" i="12"/>
  <c r="A202" i="12"/>
  <c r="A203" i="12"/>
  <c r="A200" i="12"/>
  <c r="B19" i="25" l="1"/>
  <c r="B18" i="25"/>
  <c r="B21" i="25"/>
  <c r="F16" i="23"/>
  <c r="E16" i="23"/>
  <c r="D16" i="23"/>
  <c r="C16" i="23"/>
  <c r="C18" i="25" l="1"/>
  <c r="D11" i="23" s="1"/>
  <c r="B17" i="23"/>
  <c r="F11" i="23"/>
  <c r="D13" i="23"/>
  <c r="C19" i="25" l="1"/>
  <c r="B22" i="25" s="1"/>
  <c r="B33" i="22"/>
  <c r="F26" i="25" l="1"/>
  <c r="C26" i="25"/>
  <c r="D26" i="25"/>
  <c r="E26" i="25"/>
  <c r="B7" i="25"/>
  <c r="B8" i="25" s="1"/>
  <c r="B9" i="25" s="1"/>
  <c r="C3" i="25"/>
  <c r="D3" i="25" s="1"/>
  <c r="B3" i="25"/>
  <c r="B4" i="25" l="1"/>
  <c r="B11" i="25" s="1"/>
  <c r="B12" i="25" s="1"/>
  <c r="K9" i="23" s="1"/>
  <c r="F32" i="23" s="1"/>
  <c r="G32" i="23" s="1"/>
  <c r="U22" i="23" l="1"/>
  <c r="U23" i="23"/>
  <c r="U24" i="23"/>
  <c r="U21" i="23"/>
  <c r="T22" i="23"/>
  <c r="T23" i="23"/>
  <c r="T24" i="23"/>
  <c r="T21" i="23"/>
  <c r="S22" i="23"/>
  <c r="S23" i="23"/>
  <c r="S24" i="23"/>
  <c r="S21" i="23"/>
  <c r="R22" i="23"/>
  <c r="R23" i="23"/>
  <c r="R24" i="23"/>
  <c r="R21" i="23"/>
  <c r="G94" i="12" l="1"/>
  <c r="G93" i="12"/>
  <c r="A116" i="12" s="1"/>
  <c r="F94" i="12"/>
  <c r="F93" i="12"/>
  <c r="A115" i="12" s="1"/>
  <c r="A117" i="12"/>
  <c r="K94" i="12"/>
  <c r="B3" i="22" l="1"/>
  <c r="C3" i="22"/>
  <c r="D3" i="22"/>
  <c r="B4" i="22"/>
  <c r="C4" i="22"/>
  <c r="D4" i="22"/>
  <c r="B5" i="22"/>
  <c r="C5" i="22"/>
  <c r="B6" i="22"/>
  <c r="C6" i="22"/>
  <c r="D6" i="22"/>
  <c r="B7" i="22"/>
  <c r="C7" i="22"/>
  <c r="D7" i="22"/>
  <c r="B8" i="22"/>
  <c r="C8" i="22"/>
  <c r="B9" i="22"/>
  <c r="C9" i="22"/>
  <c r="B10" i="22"/>
  <c r="C10" i="22"/>
  <c r="D10" i="22"/>
  <c r="B11" i="22"/>
  <c r="C11" i="22"/>
  <c r="D11" i="22"/>
  <c r="D15" i="22"/>
  <c r="E15" i="22"/>
  <c r="F15" i="22"/>
  <c r="G15" i="22"/>
  <c r="H15" i="22"/>
  <c r="I15" i="22"/>
  <c r="J15" i="22"/>
  <c r="K15" i="22"/>
  <c r="L15" i="22"/>
  <c r="A28" i="22"/>
  <c r="B28" i="22"/>
  <c r="C28" i="22"/>
  <c r="C29" i="22" s="1"/>
  <c r="C30" i="22" s="1"/>
  <c r="C31" i="22" s="1"/>
  <c r="C32" i="22" s="1"/>
  <c r="C33" i="22" s="1"/>
  <c r="C34" i="22" s="1"/>
  <c r="P28" i="22"/>
  <c r="Q28" i="22"/>
  <c r="A29" i="22"/>
  <c r="B29" i="22"/>
  <c r="P29" i="22"/>
  <c r="Q29" i="22"/>
  <c r="A30" i="22"/>
  <c r="B30" i="22"/>
  <c r="P30" i="22"/>
  <c r="Q30" i="22"/>
  <c r="A31" i="22"/>
  <c r="B31" i="22"/>
  <c r="P31" i="22"/>
  <c r="Q31" i="22"/>
  <c r="A32" i="22"/>
  <c r="B32" i="22"/>
  <c r="P32" i="22"/>
  <c r="Q32" i="22"/>
  <c r="A33" i="22"/>
  <c r="P33" i="22"/>
  <c r="Q33" i="22"/>
  <c r="A34" i="22"/>
  <c r="B34" i="22"/>
  <c r="P34" i="22"/>
  <c r="Q34" i="22"/>
  <c r="B39" i="22"/>
  <c r="F39" i="22"/>
  <c r="E11" i="22" l="1"/>
  <c r="L16" i="22" s="1"/>
  <c r="L30" i="22" s="1"/>
  <c r="E10" i="22"/>
  <c r="K16" i="22" s="1"/>
  <c r="K33" i="22" s="1"/>
  <c r="E9" i="22"/>
  <c r="J16" i="22" s="1"/>
  <c r="J29" i="22" s="1"/>
  <c r="E8" i="22"/>
  <c r="I16" i="22" s="1"/>
  <c r="I33" i="22" s="1"/>
  <c r="E6" i="22"/>
  <c r="G16" i="22" s="1"/>
  <c r="G33" i="22" s="1"/>
  <c r="E7" i="22"/>
  <c r="H16" i="22" s="1"/>
  <c r="H28" i="22" s="1"/>
  <c r="E4" i="22"/>
  <c r="E16" i="22" s="1"/>
  <c r="E34" i="22" s="1"/>
  <c r="E5" i="22"/>
  <c r="F16" i="22" s="1"/>
  <c r="F28" i="22" s="1"/>
  <c r="E3" i="22"/>
  <c r="D16" i="22" s="1"/>
  <c r="D33" i="22" s="1"/>
  <c r="I30" i="22" l="1"/>
  <c r="I28" i="22"/>
  <c r="I32" i="22"/>
  <c r="I29" i="22"/>
  <c r="I34" i="22"/>
  <c r="I31" i="22"/>
  <c r="L32" i="22"/>
  <c r="K31" i="22"/>
  <c r="K32" i="22"/>
  <c r="L29" i="22"/>
  <c r="K28" i="22"/>
  <c r="K34" i="22"/>
  <c r="K29" i="22"/>
  <c r="K30" i="22"/>
  <c r="G34" i="22"/>
  <c r="G29" i="22"/>
  <c r="G30" i="22"/>
  <c r="G31" i="22"/>
  <c r="H30" i="22"/>
  <c r="G28" i="22"/>
  <c r="J30" i="22"/>
  <c r="L33" i="22"/>
  <c r="L31" i="22"/>
  <c r="L34" i="22"/>
  <c r="J34" i="22"/>
  <c r="H34" i="22"/>
  <c r="L28" i="22"/>
  <c r="J32" i="22"/>
  <c r="J33" i="22"/>
  <c r="G32" i="22"/>
  <c r="J28" i="22"/>
  <c r="J31" i="22"/>
  <c r="H33" i="22"/>
  <c r="H32" i="22"/>
  <c r="F30" i="22"/>
  <c r="H31" i="22"/>
  <c r="H29" i="22"/>
  <c r="F31" i="22"/>
  <c r="F29" i="22"/>
  <c r="D28" i="22"/>
  <c r="D30" i="22"/>
  <c r="D32" i="22"/>
  <c r="D29" i="22"/>
  <c r="E30" i="22"/>
  <c r="E28" i="22"/>
  <c r="E31" i="22"/>
  <c r="D31" i="22"/>
  <c r="D34" i="22"/>
  <c r="F33" i="22"/>
  <c r="E33" i="22"/>
  <c r="F32" i="22"/>
  <c r="E29" i="22"/>
  <c r="F34" i="22"/>
  <c r="E32" i="22"/>
  <c r="D94" i="12"/>
  <c r="D93" i="12"/>
  <c r="N28" i="22" l="1"/>
  <c r="O28" i="22" s="1"/>
  <c r="N31" i="22"/>
  <c r="N29" i="22"/>
  <c r="N30" i="22"/>
  <c r="N32" i="22"/>
  <c r="N33" i="22"/>
  <c r="N34" i="22"/>
  <c r="J94" i="12"/>
  <c r="E94" i="12"/>
  <c r="B94" i="12"/>
  <c r="G101" i="12"/>
  <c r="J60" i="12"/>
  <c r="E60" i="12"/>
  <c r="E192" i="12"/>
  <c r="E193" i="12"/>
  <c r="G188" i="12"/>
  <c r="E191" i="12"/>
  <c r="E188" i="12"/>
  <c r="A192" i="12"/>
  <c r="A193" i="12"/>
  <c r="A191" i="12"/>
  <c r="O29" i="22" l="1"/>
  <c r="R28" i="22"/>
  <c r="D132" i="12"/>
  <c r="B132" i="12"/>
  <c r="S28" i="22" l="1"/>
  <c r="T28" i="22"/>
  <c r="O30" i="22"/>
  <c r="R29" i="22"/>
  <c r="A103" i="12"/>
  <c r="B190" i="12" s="1"/>
  <c r="E44" i="12"/>
  <c r="E45" i="12"/>
  <c r="E46" i="12"/>
  <c r="F46" i="12" s="1"/>
  <c r="E43" i="12"/>
  <c r="S29" i="22" l="1"/>
  <c r="T29" i="22"/>
  <c r="R30" i="22"/>
  <c r="O31" i="22"/>
  <c r="T30" i="22" l="1"/>
  <c r="S30" i="22"/>
  <c r="R31" i="22"/>
  <c r="O32" i="22"/>
  <c r="S31" i="22" l="1"/>
  <c r="T31" i="22"/>
  <c r="O33" i="22"/>
  <c r="R32" i="22"/>
  <c r="B17" i="12"/>
  <c r="E24" i="12" s="1"/>
  <c r="A17" i="12"/>
  <c r="T32" i="22" l="1"/>
  <c r="S32" i="22"/>
  <c r="O34" i="22"/>
  <c r="R34" i="22" s="1"/>
  <c r="R33" i="22"/>
  <c r="B24" i="12"/>
  <c r="C24" i="12"/>
  <c r="C17" i="12"/>
  <c r="D17" i="12" s="1"/>
  <c r="D24" i="12"/>
  <c r="F8" i="12"/>
  <c r="F9" i="12"/>
  <c r="F10" i="12"/>
  <c r="F11" i="12"/>
  <c r="F7" i="12"/>
  <c r="S34" i="22" l="1"/>
  <c r="T34" i="22"/>
  <c r="T33" i="22"/>
  <c r="S33" i="22"/>
  <c r="D25" i="12"/>
  <c r="D27" i="12" s="1"/>
  <c r="E25" i="12"/>
  <c r="E27" i="12" s="1"/>
  <c r="C27" i="12"/>
  <c r="B27" i="12"/>
  <c r="F37" i="22" l="1"/>
  <c r="F38" i="22" s="1"/>
  <c r="F40" i="22" s="1"/>
  <c r="F41" i="22" s="1"/>
  <c r="C30" i="21" s="1"/>
  <c r="B37" i="22"/>
  <c r="B38" i="22" s="1"/>
  <c r="B40" i="22" s="1"/>
  <c r="B41" i="22" s="1"/>
  <c r="C28" i="21" s="1"/>
  <c r="E29" i="12"/>
  <c r="E203" i="12" s="1"/>
  <c r="J203" i="12" s="1"/>
  <c r="D29" i="12"/>
  <c r="A175" i="12"/>
  <c r="A176" i="12"/>
  <c r="A174" i="12"/>
  <c r="H82" i="12"/>
  <c r="I82" i="12"/>
  <c r="I81" i="12"/>
  <c r="H81" i="12"/>
  <c r="C30" i="16"/>
  <c r="J6" i="16"/>
  <c r="G83" i="12" s="1"/>
  <c r="K83" i="12" s="1"/>
  <c r="J8" i="16"/>
  <c r="G85" i="12" s="1"/>
  <c r="K85" i="12" s="1"/>
  <c r="J9" i="16"/>
  <c r="G86" i="12" s="1"/>
  <c r="K86" i="12" s="1"/>
  <c r="J10" i="16"/>
  <c r="G87" i="12" s="1"/>
  <c r="K87" i="12" s="1"/>
  <c r="J11" i="16"/>
  <c r="G88" i="12" s="1"/>
  <c r="K88" i="12" s="1"/>
  <c r="J12" i="16"/>
  <c r="G89" i="12" s="1"/>
  <c r="K89" i="12" s="1"/>
  <c r="J13" i="16"/>
  <c r="G90" i="12" s="1"/>
  <c r="K90" i="12" s="1"/>
  <c r="J14" i="16"/>
  <c r="G91" i="12" s="1"/>
  <c r="K91" i="12" s="1"/>
  <c r="J5" i="16"/>
  <c r="E201" i="12" l="1"/>
  <c r="J201" i="12" s="1"/>
  <c r="E202" i="12"/>
  <c r="J202" i="12" s="1"/>
  <c r="E200" i="12"/>
  <c r="J200" i="12" s="1"/>
  <c r="B29" i="12"/>
  <c r="C29" i="12"/>
  <c r="B44" i="12" l="1"/>
  <c r="F124" i="12" s="1"/>
  <c r="D201" i="12"/>
  <c r="D202" i="12"/>
  <c r="D200" i="12"/>
  <c r="B46" i="12"/>
  <c r="F126" i="12" s="1"/>
  <c r="D203" i="12"/>
  <c r="B45" i="12"/>
  <c r="F125" i="12" s="1"/>
  <c r="B43" i="12"/>
  <c r="J82" i="12"/>
  <c r="J81" i="12"/>
  <c r="A155" i="12"/>
  <c r="A156" i="12"/>
  <c r="A154" i="12"/>
  <c r="F203" i="12" l="1"/>
  <c r="I203" i="12"/>
  <c r="K203" i="12" s="1"/>
  <c r="F200" i="12"/>
  <c r="I200" i="12"/>
  <c r="K200" i="12" s="1"/>
  <c r="F201" i="12"/>
  <c r="I201" i="12"/>
  <c r="K201" i="12" s="1"/>
  <c r="F202" i="12"/>
  <c r="I202" i="12"/>
  <c r="K202" i="12" s="1"/>
  <c r="F123" i="12"/>
  <c r="E81" i="12"/>
  <c r="F82" i="12"/>
  <c r="F81" i="12"/>
  <c r="A107" i="12" s="1"/>
  <c r="D81" i="12"/>
  <c r="A105" i="12" s="1"/>
  <c r="L202" i="12" l="1"/>
  <c r="N41" i="11" s="1"/>
  <c r="L200" i="12"/>
  <c r="J41" i="11" s="1"/>
  <c r="L201" i="12"/>
  <c r="L41" i="11" s="1"/>
  <c r="L203" i="12"/>
  <c r="H41" i="11" s="1"/>
  <c r="A106" i="12"/>
  <c r="C122" i="12" s="1"/>
  <c r="C132" i="12" s="1"/>
  <c r="D82" i="12" l="1"/>
  <c r="G82" i="12" l="1"/>
  <c r="K82" i="12" s="1"/>
  <c r="K92" i="12" s="1"/>
  <c r="C82" i="12"/>
  <c r="I60" i="12"/>
  <c r="E101" i="12" s="1"/>
  <c r="H60" i="12"/>
  <c r="D101" i="12" s="1"/>
  <c r="G60" i="12"/>
  <c r="C101" i="12" s="1"/>
  <c r="D60" i="12"/>
  <c r="C60" i="12"/>
  <c r="B60" i="12"/>
  <c r="E82" i="12"/>
  <c r="B82" i="12"/>
  <c r="A47" i="12"/>
  <c r="A44" i="12"/>
  <c r="A124" i="12" s="1"/>
  <c r="A45" i="12"/>
  <c r="A125" i="12" s="1"/>
  <c r="A46" i="12"/>
  <c r="A126" i="12" s="1"/>
  <c r="A43" i="12"/>
  <c r="A123" i="12" s="1"/>
  <c r="C61" i="12" l="1"/>
  <c r="D61" i="12"/>
  <c r="F43" i="12"/>
  <c r="F45" i="12"/>
  <c r="F44" i="12"/>
  <c r="B61" i="12"/>
  <c r="C62" i="12"/>
  <c r="D62" i="12"/>
  <c r="B62" i="12"/>
  <c r="J8" i="12"/>
  <c r="L8" i="12" s="1"/>
  <c r="K8" i="12"/>
  <c r="M8" i="12" s="1"/>
  <c r="J9" i="12"/>
  <c r="L9" i="12" s="1"/>
  <c r="K9" i="12"/>
  <c r="M9" i="12" s="1"/>
  <c r="J10" i="12"/>
  <c r="L10" i="12" s="1"/>
  <c r="K10" i="12"/>
  <c r="M10" i="12" s="1"/>
  <c r="J11" i="12"/>
  <c r="L11" i="12" s="1"/>
  <c r="K11" i="12"/>
  <c r="M11" i="12" s="1"/>
  <c r="K7" i="12"/>
  <c r="M7" i="12" s="1"/>
  <c r="J7" i="12"/>
  <c r="L7" i="12" s="1"/>
  <c r="G8" i="12" l="1"/>
  <c r="H8" i="12"/>
  <c r="G9" i="12"/>
  <c r="H9" i="12"/>
  <c r="G11" i="12"/>
  <c r="H11" i="12"/>
  <c r="D34" i="12" l="1"/>
  <c r="D211" i="12"/>
  <c r="B34" i="12"/>
  <c r="C211" i="12"/>
  <c r="D33" i="12"/>
  <c r="D210" i="12"/>
  <c r="B33" i="12"/>
  <c r="C210" i="12"/>
  <c r="I8" i="12"/>
  <c r="I9" i="12"/>
  <c r="I11" i="12"/>
  <c r="F33" i="12" l="1"/>
  <c r="C44" i="12" s="1"/>
  <c r="G124" i="12" s="1"/>
  <c r="B134" i="12" s="1"/>
  <c r="F34" i="12"/>
  <c r="C45" i="12" s="1"/>
  <c r="G125" i="12" s="1"/>
  <c r="B135" i="12" s="1"/>
  <c r="D45" i="12" l="1"/>
  <c r="D125" i="12" s="1"/>
  <c r="D135" i="12" s="1"/>
  <c r="D44" i="12"/>
  <c r="G44" i="12" s="1"/>
  <c r="N7" i="12"/>
  <c r="K40" i="11" s="1"/>
  <c r="N11" i="12"/>
  <c r="N10" i="12"/>
  <c r="I40" i="11" s="1"/>
  <c r="N8" i="12"/>
  <c r="M40" i="11" s="1"/>
  <c r="N9" i="12"/>
  <c r="O40" i="11" s="1"/>
  <c r="G45" i="12" l="1"/>
  <c r="I63" i="12" s="1"/>
  <c r="B211" i="12"/>
  <c r="E211" i="12" s="1"/>
  <c r="I211" i="12" s="1"/>
  <c r="H66" i="12"/>
  <c r="H70" i="12"/>
  <c r="H68" i="12"/>
  <c r="H63" i="12"/>
  <c r="H67" i="12"/>
  <c r="H65" i="12"/>
  <c r="H69" i="12"/>
  <c r="H64" i="12"/>
  <c r="B210" i="12"/>
  <c r="F210" i="12" s="1"/>
  <c r="D124" i="12"/>
  <c r="D134" i="12" s="1"/>
  <c r="H62" i="12"/>
  <c r="H61" i="12"/>
  <c r="E10" i="12"/>
  <c r="E7" i="12"/>
  <c r="I62" i="12" l="1"/>
  <c r="F211" i="12"/>
  <c r="N65" i="11" s="1"/>
  <c r="I68" i="12"/>
  <c r="E210" i="12"/>
  <c r="I210" i="12" s="1"/>
  <c r="I70" i="12"/>
  <c r="I64" i="12"/>
  <c r="I66" i="12"/>
  <c r="I69" i="12"/>
  <c r="I67" i="12"/>
  <c r="I61" i="12"/>
  <c r="I65" i="12"/>
  <c r="H71" i="12"/>
  <c r="H73" i="12" s="1"/>
  <c r="J211" i="12"/>
  <c r="L65" i="11"/>
  <c r="N64" i="11"/>
  <c r="H7" i="12"/>
  <c r="G7" i="12"/>
  <c r="G10" i="12"/>
  <c r="H10" i="12"/>
  <c r="L64" i="11" l="1"/>
  <c r="I71" i="12"/>
  <c r="I73" i="12" s="1"/>
  <c r="C35" i="12"/>
  <c r="C212" i="12"/>
  <c r="D32" i="12"/>
  <c r="D209" i="12"/>
  <c r="B32" i="12"/>
  <c r="C209" i="12"/>
  <c r="E35" i="12"/>
  <c r="D212" i="12"/>
  <c r="N42" i="11"/>
  <c r="N43" i="11" s="1"/>
  <c r="J210" i="12"/>
  <c r="I7" i="12"/>
  <c r="I10" i="12"/>
  <c r="F32" i="12" l="1"/>
  <c r="C43" i="12" s="1"/>
  <c r="G123" i="12" s="1"/>
  <c r="B133" i="12" s="1"/>
  <c r="F35" i="12"/>
  <c r="C46" i="12" s="1"/>
  <c r="D46" i="12" s="1"/>
  <c r="B212" i="12" s="1"/>
  <c r="L42" i="11"/>
  <c r="L43" i="11" s="1"/>
  <c r="D43" i="12" l="1"/>
  <c r="B209" i="12" s="1"/>
  <c r="G126" i="12"/>
  <c r="F212" i="12"/>
  <c r="E212" i="12"/>
  <c r="I212" i="12" s="1"/>
  <c r="D126" i="12"/>
  <c r="G46" i="12"/>
  <c r="D123" i="12" l="1"/>
  <c r="D133" i="12" s="1"/>
  <c r="G43" i="12"/>
  <c r="G62" i="12" s="1"/>
  <c r="J64" i="12"/>
  <c r="J62" i="12"/>
  <c r="J63" i="12"/>
  <c r="J212" i="12"/>
  <c r="H42" i="11" s="1"/>
  <c r="H43" i="11" s="1"/>
  <c r="H64" i="11"/>
  <c r="H65" i="11"/>
  <c r="E209" i="12"/>
  <c r="F209" i="12"/>
  <c r="J61" i="12"/>
  <c r="G65" i="12" l="1"/>
  <c r="G69" i="12"/>
  <c r="G66" i="12"/>
  <c r="G70" i="12"/>
  <c r="G64" i="12"/>
  <c r="G68" i="12"/>
  <c r="G63" i="12"/>
  <c r="G67" i="12"/>
  <c r="G61" i="12"/>
  <c r="J71" i="12"/>
  <c r="J73" i="12" s="1"/>
  <c r="J65" i="11"/>
  <c r="J64" i="11"/>
  <c r="I209" i="12"/>
  <c r="H75" i="12"/>
  <c r="I75" i="12" l="1"/>
  <c r="H76" i="12"/>
  <c r="D102" i="12" s="1"/>
  <c r="D113" i="12" s="1"/>
  <c r="G71" i="12"/>
  <c r="G73" i="12" s="1"/>
  <c r="G75" i="12" s="1"/>
  <c r="G76" i="12" s="1"/>
  <c r="J75" i="12"/>
  <c r="J76" i="12" s="1"/>
  <c r="G102" i="12" s="1"/>
  <c r="J209" i="12"/>
  <c r="I76" i="12" l="1"/>
  <c r="E102" i="12" s="1"/>
  <c r="G116" i="12"/>
  <c r="M126" i="12" s="1"/>
  <c r="G117" i="12"/>
  <c r="G112" i="12"/>
  <c r="H50" i="11" s="1"/>
  <c r="G115" i="12"/>
  <c r="L126" i="12" s="1"/>
  <c r="G103" i="12"/>
  <c r="B126" i="12" s="1"/>
  <c r="H46" i="11" s="1"/>
  <c r="G106" i="12"/>
  <c r="C126" i="12" s="1"/>
  <c r="E126" i="12" s="1"/>
  <c r="H126" i="12" s="1"/>
  <c r="G111" i="12"/>
  <c r="J126" i="12" s="1"/>
  <c r="J42" i="11"/>
  <c r="J43" i="11" s="1"/>
  <c r="D114" i="12"/>
  <c r="B124" i="12" s="1"/>
  <c r="D107" i="12"/>
  <c r="C165" i="12" s="1"/>
  <c r="D109" i="12"/>
  <c r="D165" i="12" s="1"/>
  <c r="D110" i="12"/>
  <c r="D106" i="12"/>
  <c r="D112" i="12"/>
  <c r="D104" i="12"/>
  <c r="L48" i="11" s="1"/>
  <c r="D103" i="12"/>
  <c r="C102" i="12"/>
  <c r="C110" i="12" s="1"/>
  <c r="D105" i="12"/>
  <c r="D108" i="12"/>
  <c r="E114" i="12" l="1"/>
  <c r="N46" i="11" s="1"/>
  <c r="E105" i="12"/>
  <c r="E109" i="12"/>
  <c r="D166" i="12" s="1"/>
  <c r="E110" i="12"/>
  <c r="E107" i="12"/>
  <c r="C166" i="12" s="1"/>
  <c r="E108" i="12"/>
  <c r="E113" i="12"/>
  <c r="E112" i="12"/>
  <c r="E104" i="12"/>
  <c r="N48" i="11" s="1"/>
  <c r="E106" i="12"/>
  <c r="C125" i="12" s="1"/>
  <c r="E125" i="12" s="1"/>
  <c r="B166" i="12" s="1"/>
  <c r="E103" i="12"/>
  <c r="N47" i="11" s="1"/>
  <c r="I126" i="12"/>
  <c r="N126" i="12"/>
  <c r="N128" i="12" s="1"/>
  <c r="K126" i="12"/>
  <c r="B167" i="12"/>
  <c r="L47" i="11"/>
  <c r="B192" i="12"/>
  <c r="B175" i="12"/>
  <c r="C192" i="12"/>
  <c r="A134" i="12"/>
  <c r="C124" i="12"/>
  <c r="L50" i="11"/>
  <c r="L46" i="11"/>
  <c r="C109" i="12"/>
  <c r="D164" i="12" s="1"/>
  <c r="C103" i="12"/>
  <c r="C113" i="12"/>
  <c r="C112" i="12"/>
  <c r="C106" i="12"/>
  <c r="C105" i="12"/>
  <c r="C108" i="12"/>
  <c r="C114" i="12"/>
  <c r="C104" i="12"/>
  <c r="J48" i="11" s="1"/>
  <c r="C107" i="12"/>
  <c r="C164" i="12" s="1"/>
  <c r="E166" i="12" l="1"/>
  <c r="N52" i="11" s="1"/>
  <c r="B125" i="12"/>
  <c r="B193" i="12"/>
  <c r="C135" i="12"/>
  <c r="H125" i="12"/>
  <c r="N50" i="11"/>
  <c r="A135" i="12"/>
  <c r="C193" i="12"/>
  <c r="B176" i="12"/>
  <c r="O126" i="12"/>
  <c r="N127" i="12"/>
  <c r="N129" i="12" s="1"/>
  <c r="N130" i="12" s="1"/>
  <c r="H54" i="11" s="1"/>
  <c r="J47" i="11"/>
  <c r="B191" i="12"/>
  <c r="B174" i="12"/>
  <c r="C191" i="12"/>
  <c r="E124" i="12"/>
  <c r="B165" i="12" s="1"/>
  <c r="E165" i="12" s="1"/>
  <c r="C134" i="12"/>
  <c r="E134" i="12" s="1"/>
  <c r="F134" i="12" s="1"/>
  <c r="G134" i="12" s="1"/>
  <c r="B155" i="12" s="1"/>
  <c r="C123" i="12"/>
  <c r="A133" i="12"/>
  <c r="J50" i="11"/>
  <c r="J46" i="11"/>
  <c r="B123" i="12"/>
  <c r="C176" i="12" l="1"/>
  <c r="E135" i="12"/>
  <c r="F135" i="12" s="1"/>
  <c r="G135" i="12" s="1"/>
  <c r="B156" i="12" s="1"/>
  <c r="C156" i="12" s="1"/>
  <c r="D156" i="12" s="1"/>
  <c r="O130" i="12"/>
  <c r="H53" i="11" s="1"/>
  <c r="L52" i="11"/>
  <c r="C175" i="12"/>
  <c r="H124" i="12"/>
  <c r="C155" i="12"/>
  <c r="D155" i="12" s="1"/>
  <c r="E123" i="12"/>
  <c r="B164" i="12" s="1"/>
  <c r="E164" i="12" s="1"/>
  <c r="C133" i="12"/>
  <c r="E133" i="12" s="1"/>
  <c r="F133" i="12" s="1"/>
  <c r="G133" i="12" s="1"/>
  <c r="B154" i="12" s="1"/>
  <c r="J52" i="11" l="1"/>
  <c r="C174" i="12"/>
  <c r="H123" i="12"/>
  <c r="E156" i="12"/>
  <c r="D193" i="12" s="1"/>
  <c r="F193" i="12" s="1"/>
  <c r="G193" i="12" s="1"/>
  <c r="H193" i="12" s="1"/>
  <c r="E155" i="12"/>
  <c r="D192" i="12" s="1"/>
  <c r="C154" i="12"/>
  <c r="D154" i="12" s="1"/>
  <c r="F192" i="12" l="1"/>
  <c r="G192" i="12" s="1"/>
  <c r="H192" i="12" s="1"/>
  <c r="I193" i="12"/>
  <c r="J193" i="12"/>
  <c r="L193" i="12" s="1"/>
  <c r="N59" i="11" s="1"/>
  <c r="D176" i="12"/>
  <c r="N56" i="11" s="1"/>
  <c r="F155" i="12"/>
  <c r="L62" i="11" s="1"/>
  <c r="F156" i="12"/>
  <c r="N62" i="11" s="1"/>
  <c r="D175" i="12"/>
  <c r="E154" i="12"/>
  <c r="I192" i="12" l="1"/>
  <c r="K192" i="12" s="1"/>
  <c r="L58" i="11" s="1"/>
  <c r="J192" i="12"/>
  <c r="K193" i="12"/>
  <c r="N58" i="11" s="1"/>
  <c r="M193" i="12"/>
  <c r="N60" i="11" s="1"/>
  <c r="D191" i="12"/>
  <c r="F191" i="12" s="1"/>
  <c r="G191" i="12" s="1"/>
  <c r="H191" i="12" s="1"/>
  <c r="J191" i="12" s="1"/>
  <c r="L56" i="11"/>
  <c r="E175" i="12"/>
  <c r="F175" i="12" s="1"/>
  <c r="L53" i="11" s="1"/>
  <c r="E176" i="12"/>
  <c r="F154" i="12"/>
  <c r="J62" i="11" s="1"/>
  <c r="D174" i="12"/>
  <c r="J56" i="11" s="1"/>
  <c r="M192" i="12" l="1"/>
  <c r="L192" i="12"/>
  <c r="L59" i="11" s="1"/>
  <c r="N54" i="11"/>
  <c r="N193" i="12"/>
  <c r="I191" i="12"/>
  <c r="L54" i="11"/>
  <c r="F176" i="12"/>
  <c r="N53" i="11" s="1"/>
  <c r="E174" i="12"/>
  <c r="N192" i="12" l="1"/>
  <c r="L60" i="11"/>
  <c r="K191" i="12"/>
  <c r="J58" i="11" s="1"/>
  <c r="M191" i="12"/>
  <c r="J60" i="11" s="1"/>
  <c r="L191" i="12"/>
  <c r="J59" i="11" s="1"/>
  <c r="F174" i="12"/>
  <c r="J53" i="11" s="1"/>
  <c r="J54" i="11"/>
  <c r="N191" i="12" l="1"/>
  <c r="J55" i="11" s="1"/>
</calcChain>
</file>

<file path=xl/comments1.xml><?xml version="1.0" encoding="utf-8"?>
<comments xmlns="http://schemas.openxmlformats.org/spreadsheetml/2006/main">
  <authors>
    <author>Steinicke Michael</author>
  </authors>
  <commentList>
    <comment ref="D5" authorId="0" shapeId="0">
      <text>
        <r>
          <rPr>
            <b/>
            <sz val="8"/>
            <color indexed="81"/>
            <rFont val="Tahoma"/>
            <family val="2"/>
          </rPr>
          <t>front of the lens barrel</t>
        </r>
        <r>
          <rPr>
            <sz val="8"/>
            <color indexed="81"/>
            <rFont val="Tahoma"/>
            <family val="2"/>
          </rPr>
          <t xml:space="preserve">
</t>
        </r>
      </text>
    </comment>
    <comment ref="D6" authorId="0" shapeId="0">
      <text>
        <r>
          <rPr>
            <b/>
            <sz val="8"/>
            <color indexed="81"/>
            <rFont val="Tahoma"/>
            <family val="2"/>
          </rPr>
          <t>of the Field of view in pixel / mm</t>
        </r>
        <r>
          <rPr>
            <sz val="8"/>
            <color indexed="81"/>
            <rFont val="Tahoma"/>
            <family val="2"/>
          </rPr>
          <t xml:space="preserve">
</t>
        </r>
      </text>
    </comment>
  </commentList>
</comments>
</file>

<file path=xl/comments2.xml><?xml version="1.0" encoding="utf-8"?>
<comments xmlns="http://schemas.openxmlformats.org/spreadsheetml/2006/main">
  <authors>
    <author>Steinicke Michael</author>
  </authors>
  <commentList>
    <comment ref="G4" authorId="0" shapeId="0">
      <text>
        <r>
          <rPr>
            <b/>
            <sz val="8"/>
            <color indexed="81"/>
            <rFont val="Tahoma"/>
            <family val="2"/>
          </rPr>
          <t>Steinicke Michael:</t>
        </r>
        <r>
          <rPr>
            <sz val="8"/>
            <color indexed="81"/>
            <rFont val="Tahoma"/>
            <family val="2"/>
          </rPr>
          <t xml:space="preserve">
Sensorgröße = Auflösung x Pixelgröße</t>
        </r>
      </text>
    </comment>
    <comment ref="A27" authorId="0" shapeId="0">
      <text>
        <r>
          <rPr>
            <b/>
            <sz val="8"/>
            <color indexed="81"/>
            <rFont val="Tahoma"/>
            <family val="2"/>
          </rPr>
          <t>Steinicke Michael:</t>
        </r>
        <r>
          <rPr>
            <sz val="8"/>
            <color indexed="81"/>
            <rFont val="Tahoma"/>
            <family val="2"/>
          </rPr>
          <t xml:space="preserve">
auf Sensorgröße skalierte Länge; lange Seite durch 1 und kurze Seite durch 0,75 bzw. 0,64 geteilt ergibt Stücken, die, wenn das Bildverhältnis dem Sensor entspricht, gleich groß sind</t>
        </r>
      </text>
    </comment>
    <comment ref="A29" authorId="0" shapeId="0">
      <text>
        <r>
          <rPr>
            <b/>
            <sz val="8"/>
            <color indexed="81"/>
            <rFont val="Tahoma"/>
            <family val="2"/>
          </rPr>
          <t>Steinicke Michael:</t>
        </r>
        <r>
          <rPr>
            <sz val="8"/>
            <color indexed="81"/>
            <rFont val="Tahoma"/>
            <family val="2"/>
          </rPr>
          <t xml:space="preserve">
("h", wenn "h-Element&gt;"w-Element") (1=relevant für Maßstab)</t>
        </r>
      </text>
    </comment>
    <comment ref="F41" authorId="0" shapeId="0">
      <text>
        <r>
          <rPr>
            <b/>
            <sz val="8"/>
            <color indexed="81"/>
            <rFont val="Tahoma"/>
            <family val="2"/>
          </rPr>
          <t>Steinicke Michael:</t>
        </r>
        <r>
          <rPr>
            <sz val="8"/>
            <color indexed="81"/>
            <rFont val="Tahoma"/>
            <family val="2"/>
          </rPr>
          <t xml:space="preserve">
Abstand Objekt-Objektiv plus Vorderkante Objektiv bis Hauptebene 1, durchschnittlich 26,2mm</t>
        </r>
      </text>
    </comment>
    <comment ref="G41" authorId="0" shapeId="0">
      <text>
        <r>
          <rPr>
            <b/>
            <sz val="8"/>
            <color indexed="81"/>
            <rFont val="Tahoma"/>
            <family val="2"/>
          </rPr>
          <t>Steinicke Michael:</t>
        </r>
        <r>
          <rPr>
            <sz val="8"/>
            <color indexed="81"/>
            <rFont val="Tahoma"/>
            <family val="2"/>
          </rPr>
          <t xml:space="preserve">
Brennweite nach Vision Doctor 
f=g/(G/B+1)
führt nur zu leichten Rundungsabweichungen
</t>
        </r>
      </text>
    </comment>
    <comment ref="A56" authorId="0" shapeId="0">
      <text>
        <r>
          <rPr>
            <b/>
            <sz val="8"/>
            <color indexed="81"/>
            <rFont val="Tahoma"/>
            <family val="2"/>
          </rPr>
          <t>Steinicke Michael:</t>
        </r>
        <r>
          <rPr>
            <sz val="8"/>
            <color indexed="81"/>
            <rFont val="Tahoma"/>
            <family val="2"/>
          </rPr>
          <t xml:space="preserve">
"geschätzt", da Abstand der Hauptebenen von gewähltem Objektiv abhängt</t>
        </r>
      </text>
    </comment>
    <comment ref="C61" authorId="0" shapeId="0">
      <text>
        <r>
          <rPr>
            <b/>
            <sz val="8"/>
            <color indexed="81"/>
            <rFont val="Tahoma"/>
            <family val="2"/>
          </rPr>
          <t>Steinicke Michael:</t>
        </r>
        <r>
          <rPr>
            <sz val="8"/>
            <color indexed="81"/>
            <rFont val="Tahoma"/>
            <family val="2"/>
          </rPr>
          <t xml:space="preserve">
keine Eignung für 2MP</t>
        </r>
      </text>
    </comment>
    <comment ref="D61" authorId="0" shapeId="0">
      <text>
        <r>
          <rPr>
            <b/>
            <sz val="8"/>
            <color indexed="81"/>
            <rFont val="Tahoma"/>
            <family val="2"/>
          </rPr>
          <t>Steinicke Michael:</t>
        </r>
        <r>
          <rPr>
            <sz val="8"/>
            <color indexed="81"/>
            <rFont val="Tahoma"/>
            <family val="2"/>
          </rPr>
          <t xml:space="preserve">
keine Eignung für 2MP</t>
        </r>
      </text>
    </comment>
    <comment ref="G61" authorId="0" shapeId="0">
      <text>
        <r>
          <rPr>
            <b/>
            <sz val="8"/>
            <color indexed="81"/>
            <rFont val="Tahoma"/>
            <family val="2"/>
          </rPr>
          <t>Steinicke Michael:</t>
        </r>
        <r>
          <rPr>
            <sz val="8"/>
            <color indexed="81"/>
            <rFont val="Tahoma"/>
            <family val="2"/>
          </rPr>
          <t xml:space="preserve">
ABS
Absolutwert der Zahl
2 ==&gt; 2
-2 ==&gt; 2</t>
        </r>
      </text>
    </comment>
    <comment ref="C64" authorId="0" shapeId="0">
      <text>
        <r>
          <rPr>
            <b/>
            <sz val="8"/>
            <color indexed="81"/>
            <rFont val="Tahoma"/>
            <family val="2"/>
          </rPr>
          <t>Steinicke Michael:</t>
        </r>
        <r>
          <rPr>
            <sz val="8"/>
            <color indexed="81"/>
            <rFont val="Tahoma"/>
            <family val="2"/>
          </rPr>
          <t xml:space="preserve">
keine Eignung für 2MP</t>
        </r>
      </text>
    </comment>
    <comment ref="D64" authorId="0" shapeId="0">
      <text>
        <r>
          <rPr>
            <b/>
            <sz val="8"/>
            <color indexed="81"/>
            <rFont val="Tahoma"/>
            <family val="2"/>
          </rPr>
          <t>Steinicke Michael:</t>
        </r>
        <r>
          <rPr>
            <sz val="8"/>
            <color indexed="81"/>
            <rFont val="Tahoma"/>
            <family val="2"/>
          </rPr>
          <t xml:space="preserve">
keine Eignung für 2MP</t>
        </r>
      </text>
    </comment>
    <comment ref="F74" authorId="0" shapeId="0">
      <text>
        <r>
          <rPr>
            <b/>
            <sz val="8"/>
            <color indexed="81"/>
            <rFont val="Tahoma"/>
            <family val="2"/>
          </rPr>
          <t>Steinicke Michael:</t>
        </r>
        <r>
          <rPr>
            <sz val="8"/>
            <color indexed="81"/>
            <rFont val="Tahoma"/>
            <family val="2"/>
          </rPr>
          <t xml:space="preserve">
damit kann manuell eine niedrigere oder höhere Brennweite gewählt werden,
um die daraus ermittelten Werte in Betracht ziehen zu können</t>
        </r>
      </text>
    </comment>
    <comment ref="K81" authorId="0" shapeId="0">
      <text>
        <r>
          <rPr>
            <b/>
            <sz val="8"/>
            <color indexed="81"/>
            <rFont val="Tahoma"/>
            <family val="2"/>
          </rPr>
          <t>Steinicke Michael:</t>
        </r>
        <r>
          <rPr>
            <sz val="8"/>
            <color indexed="81"/>
            <rFont val="Tahoma"/>
            <family val="2"/>
          </rPr>
          <t xml:space="preserve">
Vorderkante Objektiv bis erste Hauptebene</t>
        </r>
      </text>
    </comment>
    <comment ref="E122" authorId="0" shapeId="0">
      <text>
        <r>
          <rPr>
            <b/>
            <sz val="8"/>
            <color indexed="81"/>
            <rFont val="Tahoma"/>
            <family val="2"/>
          </rPr>
          <t>Steinicke Michael:</t>
        </r>
        <r>
          <rPr>
            <sz val="8"/>
            <color indexed="81"/>
            <rFont val="Tahoma"/>
            <family val="2"/>
          </rPr>
          <t xml:space="preserve">
entsprechend gewähltem Objektiv</t>
        </r>
      </text>
    </comment>
    <comment ref="L122" authorId="0" shapeId="0">
      <text>
        <r>
          <rPr>
            <b/>
            <sz val="8"/>
            <color indexed="81"/>
            <rFont val="Tahoma"/>
            <family val="2"/>
          </rPr>
          <t>Steinicke Michael:</t>
        </r>
        <r>
          <rPr>
            <sz val="8"/>
            <color indexed="81"/>
            <rFont val="Tahoma"/>
            <family val="2"/>
          </rPr>
          <t xml:space="preserve">
um Rundungsfehler der Berechnung auszugleichen</t>
        </r>
      </text>
    </comment>
    <comment ref="N122" authorId="0" shapeId="0">
      <text>
        <r>
          <rPr>
            <b/>
            <sz val="8"/>
            <color indexed="81"/>
            <rFont val="Tahoma"/>
            <family val="2"/>
          </rPr>
          <t>Steinicke Michael:</t>
        </r>
        <r>
          <rPr>
            <sz val="8"/>
            <color indexed="81"/>
            <rFont val="Tahoma"/>
            <family val="2"/>
          </rPr>
          <t xml:space="preserve">
GvH1: XF: Abstand Gehäusevorderseite - H1</t>
        </r>
      </text>
    </comment>
    <comment ref="B173" authorId="0" shapeId="0">
      <text>
        <r>
          <rPr>
            <b/>
            <sz val="8"/>
            <color indexed="81"/>
            <rFont val="Tahoma"/>
            <family val="2"/>
          </rPr>
          <t>Steinicke Michael:</t>
        </r>
        <r>
          <rPr>
            <sz val="8"/>
            <color indexed="81"/>
            <rFont val="Tahoma"/>
            <family val="2"/>
          </rPr>
          <t xml:space="preserve">
Objektivlänge</t>
        </r>
      </text>
    </comment>
    <comment ref="E187" authorId="0" shapeId="0">
      <text>
        <r>
          <rPr>
            <b/>
            <sz val="8"/>
            <color indexed="81"/>
            <rFont val="Tahoma"/>
            <family val="2"/>
          </rPr>
          <t>Steinicke Michael:</t>
        </r>
        <r>
          <rPr>
            <sz val="8"/>
            <color indexed="81"/>
            <rFont val="Tahoma"/>
            <family val="2"/>
          </rPr>
          <t xml:space="preserve">
XC-Tube Innenmaß
</t>
        </r>
      </text>
    </comment>
    <comment ref="G187" authorId="0" shapeId="0">
      <text>
        <r>
          <rPr>
            <b/>
            <sz val="8"/>
            <color indexed="81"/>
            <rFont val="Tahoma"/>
            <family val="2"/>
          </rPr>
          <t>Steinicke Michael:</t>
        </r>
        <r>
          <rPr>
            <sz val="8"/>
            <color indexed="81"/>
            <rFont val="Tahoma"/>
            <family val="2"/>
          </rPr>
          <t xml:space="preserve">
XC-Module Länge</t>
        </r>
      </text>
    </comment>
    <comment ref="H187" authorId="0" shapeId="0">
      <text>
        <r>
          <rPr>
            <b/>
            <sz val="8"/>
            <color indexed="81"/>
            <rFont val="Tahoma"/>
            <family val="2"/>
          </rPr>
          <t>Steinicke Michael:</t>
        </r>
        <r>
          <rPr>
            <sz val="8"/>
            <color indexed="81"/>
            <rFont val="Tahoma"/>
            <family val="2"/>
          </rPr>
          <t xml:space="preserve">
XC-Module Länge</t>
        </r>
      </text>
    </comment>
    <comment ref="E190" authorId="0" shapeId="0">
      <text>
        <r>
          <rPr>
            <b/>
            <sz val="8"/>
            <color indexed="81"/>
            <rFont val="Tahoma"/>
            <family val="2"/>
          </rPr>
          <t>Steinicke Michael:</t>
        </r>
        <r>
          <rPr>
            <sz val="8"/>
            <color indexed="81"/>
            <rFont val="Tahoma"/>
            <family val="2"/>
          </rPr>
          <t xml:space="preserve">
XC-Tube Außenmaß
</t>
        </r>
      </text>
    </comment>
  </commentList>
</comments>
</file>

<file path=xl/comments3.xml><?xml version="1.0" encoding="utf-8"?>
<comments xmlns="http://schemas.openxmlformats.org/spreadsheetml/2006/main">
  <authors>
    <author>Steinicke Michael</author>
  </authors>
  <commentList>
    <comment ref="M4" authorId="0" shapeId="0">
      <text>
        <r>
          <rPr>
            <b/>
            <sz val="8"/>
            <color indexed="81"/>
            <rFont val="Tahoma"/>
            <family val="2"/>
          </rPr>
          <t>Steinicke Michael:</t>
        </r>
        <r>
          <rPr>
            <sz val="8"/>
            <color indexed="81"/>
            <rFont val="Tahoma"/>
            <family val="2"/>
          </rPr>
          <t xml:space="preserve">
H1 - Objekt
Ein weiterer wichtiger Begriff, der immer wieder von den Optik-Herstellern mit angegeben wird, ist die minimale Objektdistanz (MOD). Sie bezeichnet den kürzesten Arbeitsabstand zwischen der vordersten Linse und dem Motiv, bei dem noch mit dem Fokusring am Objektiv scharf gestellt werden kann.</t>
        </r>
      </text>
    </comment>
    <comment ref="K14" authorId="0" shapeId="0">
      <text>
        <r>
          <rPr>
            <b/>
            <sz val="8"/>
            <color indexed="81"/>
            <rFont val="Tahoma"/>
            <family val="2"/>
          </rPr>
          <t>Steinicke Michael:</t>
        </r>
        <r>
          <rPr>
            <sz val="8"/>
            <color indexed="81"/>
            <rFont val="Tahoma"/>
            <family val="2"/>
          </rPr>
          <t xml:space="preserve">
maximal, minimal 59,6</t>
        </r>
      </text>
    </comment>
    <comment ref="K18" authorId="0" shapeId="0">
      <text>
        <r>
          <rPr>
            <b/>
            <sz val="9"/>
            <color indexed="81"/>
            <rFont val="Tahoma"/>
            <family val="2"/>
          </rPr>
          <t>Steinicke Michael:</t>
        </r>
        <r>
          <rPr>
            <sz val="9"/>
            <color indexed="81"/>
            <rFont val="Tahoma"/>
            <family val="2"/>
          </rPr>
          <t xml:space="preserve">
temporär, eigentlich 450
</t>
        </r>
      </text>
    </comment>
    <comment ref="M18" authorId="0" shapeId="0">
      <text>
        <r>
          <rPr>
            <b/>
            <sz val="9"/>
            <color indexed="81"/>
            <rFont val="Tahoma"/>
            <family val="2"/>
          </rPr>
          <t>Steinicke Michael:</t>
        </r>
        <r>
          <rPr>
            <sz val="9"/>
            <color indexed="81"/>
            <rFont val="Tahoma"/>
            <family val="2"/>
          </rPr>
          <t xml:space="preserve">
noch unklar</t>
        </r>
      </text>
    </comment>
    <comment ref="K20" authorId="0" shapeId="0">
      <text>
        <r>
          <rPr>
            <b/>
            <sz val="9"/>
            <color indexed="81"/>
            <rFont val="Tahoma"/>
            <family val="2"/>
          </rPr>
          <t>Steinicke Michael:</t>
        </r>
        <r>
          <rPr>
            <sz val="9"/>
            <color indexed="81"/>
            <rFont val="Tahoma"/>
            <family val="2"/>
          </rPr>
          <t xml:space="preserve">
temporär, eigentlich 450
</t>
        </r>
      </text>
    </comment>
    <comment ref="G24" authorId="0" shapeId="0">
      <text>
        <r>
          <rPr>
            <b/>
            <sz val="8"/>
            <color indexed="81"/>
            <rFont val="Tahoma"/>
            <family val="2"/>
          </rPr>
          <t>Steinicke Michael:</t>
        </r>
        <r>
          <rPr>
            <sz val="8"/>
            <color indexed="81"/>
            <rFont val="Tahoma"/>
            <family val="2"/>
          </rPr>
          <t xml:space="preserve">
Glas bis C-Mount-Auflage</t>
        </r>
      </text>
    </comment>
  </commentList>
</comments>
</file>

<file path=xl/sharedStrings.xml><?xml version="1.0" encoding="utf-8"?>
<sst xmlns="http://schemas.openxmlformats.org/spreadsheetml/2006/main" count="486" uniqueCount="372">
  <si>
    <t>XC (VGA)</t>
  </si>
  <si>
    <t>XC (1.2 MP)</t>
  </si>
  <si>
    <t>XC (2.0 MP)</t>
  </si>
  <si>
    <t>Gerätetyp</t>
  </si>
  <si>
    <t>Pixelgröße (mm)</t>
  </si>
  <si>
    <t>CS / ID / XF-Serie</t>
  </si>
  <si>
    <t>VXS</t>
  </si>
  <si>
    <t>XC 0.3MP</t>
  </si>
  <si>
    <t>XC 1.2MP</t>
  </si>
  <si>
    <t>XC 2.0MP</t>
  </si>
  <si>
    <t>XF/CS/ID 0.3MP</t>
  </si>
  <si>
    <t>SAP-Nr.</t>
  </si>
  <si>
    <t>Pentax f=4,2</t>
  </si>
  <si>
    <t>Pentax f=6</t>
  </si>
  <si>
    <t>Pentax f=8,5</t>
  </si>
  <si>
    <t>Pentax f=12</t>
  </si>
  <si>
    <t>Pentax f=16</t>
  </si>
  <si>
    <t>Pentax f=25</t>
  </si>
  <si>
    <t>Pentax f=35</t>
  </si>
  <si>
    <t>Pentax f=50</t>
  </si>
  <si>
    <t>Pentax f=75</t>
  </si>
  <si>
    <t>16mm</t>
  </si>
  <si>
    <t>d</t>
  </si>
  <si>
    <t>Sensor w</t>
  </si>
  <si>
    <t>Sensor h</t>
  </si>
  <si>
    <t>Auflösung X (w)</t>
  </si>
  <si>
    <t>Auflösung Y (h)</t>
  </si>
  <si>
    <t>Pentax…</t>
  </si>
  <si>
    <t>delta H</t>
  </si>
  <si>
    <t>Brennweitennennung</t>
  </si>
  <si>
    <t>Summe</t>
  </si>
  <si>
    <t>Minimale Objektdistanz ("MOD")</t>
  </si>
  <si>
    <t>Objektivdaten Pentax:</t>
  </si>
  <si>
    <t>Weitere Gerätedaten VeriSens</t>
  </si>
  <si>
    <t>Eignung VGA</t>
  </si>
  <si>
    <t>Eignung 1.2MP</t>
  </si>
  <si>
    <t>Eignung 2MP</t>
  </si>
  <si>
    <t>f in Bezeichnung</t>
  </si>
  <si>
    <t>Resolution supported?</t>
  </si>
  <si>
    <t>Bilddiagonale</t>
  </si>
  <si>
    <t>FOVy (h1)</t>
  </si>
  <si>
    <t>M = B/G</t>
  </si>
  <si>
    <t>"Lens of choice"</t>
  </si>
  <si>
    <t>Brennweite</t>
  </si>
  <si>
    <t>Minimum:</t>
  </si>
  <si>
    <t>Berechnung der Minimalsten Abweichung</t>
  </si>
  <si>
    <t>Produktbezeichnung (Pentax…)</t>
  </si>
  <si>
    <t>SAP-Nummer</t>
  </si>
  <si>
    <t>Auswahl der SAP-Nummer</t>
  </si>
  <si>
    <t>Zwischenring</t>
  </si>
  <si>
    <t>XC: max. Abstand Gehäusevorderseite - Oberseite Bildsensor ("BST")</t>
  </si>
  <si>
    <t>Optical Path Length l</t>
  </si>
  <si>
    <t>Total length d</t>
  </si>
  <si>
    <t>XC: max. Abstand Gehäusevorderseite - C-Mount Auflage ("CMH")</t>
  </si>
  <si>
    <t>verfügbare Zwischenringe (Pentax)</t>
  </si>
  <si>
    <t>Auswahl des richtigen Zwischenrings</t>
  </si>
  <si>
    <t>MOD</t>
  </si>
  <si>
    <t>entspricht Bw</t>
  </si>
  <si>
    <t>entspricht Bh</t>
  </si>
  <si>
    <t>Vergleich required FOV (w1) vs. supported FOVw</t>
  </si>
  <si>
    <t>bei n px / mm und Auflösung max. mögl. FOV (w1) in mm</t>
  </si>
  <si>
    <t>bei n px / mm und Auflösung max. mögl. FOV (h1) in mm</t>
  </si>
  <si>
    <t>Gewählte Auflösung unterstützt FOV von:</t>
  </si>
  <si>
    <t>G (w oder h)</t>
  </si>
  <si>
    <t>B (w oder h)</t>
  </si>
  <si>
    <t>Welche Brennweiten sind generell verfügbar (und für MP geeignet)</t>
  </si>
  <si>
    <t>Glas</t>
  </si>
  <si>
    <t>Korrektur</t>
  </si>
  <si>
    <t>optisch (AO)</t>
  </si>
  <si>
    <t>H2</t>
  </si>
  <si>
    <t>H1</t>
  </si>
  <si>
    <t>dC</t>
  </si>
  <si>
    <t>= C-Mount Auflage (AO, AM)</t>
  </si>
  <si>
    <t>dVK</t>
  </si>
  <si>
    <t>Grenze von d, das entsprechenden Zwischenring wählt</t>
  </si>
  <si>
    <t>gewählter Ring d'</t>
  </si>
  <si>
    <t>Zwischenring benötigt?</t>
  </si>
  <si>
    <t>B</t>
  </si>
  <si>
    <t>G</t>
  </si>
  <si>
    <t>Exakte Berechnung mit ausgewähltem Objektiv</t>
  </si>
  <si>
    <t>Brennweite in Bezeichnung</t>
  </si>
  <si>
    <t>4.2 mm</t>
  </si>
  <si>
    <t>Brennweite Bezeichnung</t>
  </si>
  <si>
    <t>Baumer article (Item No.)</t>
  </si>
  <si>
    <t>d0 (calculated)</t>
  </si>
  <si>
    <t>d1 (calculated)</t>
  </si>
  <si>
    <t>d3 (calculated)</t>
  </si>
  <si>
    <t>OUTPUT</t>
  </si>
  <si>
    <t>w1</t>
  </si>
  <si>
    <t>h1</t>
  </si>
  <si>
    <t>Sensorformat</t>
  </si>
  <si>
    <t>errechn. Bildformat</t>
  </si>
  <si>
    <t>Orientierung ok? (=1)</t>
  </si>
  <si>
    <t>Hängt davon ab, wie Seitenverhältnis des Bildes ist, ist z.B. die kürzere Seite etwas länger als 0,75x, bestimmt diese den Abbildungsmaßstab.</t>
  </si>
  <si>
    <t>Bild (Sensor)</t>
  </si>
  <si>
    <t>Die Orientierung ist nur wichtig für die Flächennutzung, wird aber in der Berechnung berücksichtigt.</t>
  </si>
  <si>
    <t>Gegenstand (h1, w1)</t>
  </si>
  <si>
    <t>Abbildungsmaßstab M</t>
  </si>
  <si>
    <t>w bzw. "w-Element" (CCD)</t>
  </si>
  <si>
    <t>w bzw. "w-Element" (CMOS)</t>
  </si>
  <si>
    <t>Größe Element ("h-Element" &gt; "w-Element" dann h-Seite für Maßstab bestimmend)</t>
  </si>
  <si>
    <t>Hardwaredaten und Auswahl der Objektive mit der geringsten Abweichung zu den berechneten Brennweiten</t>
  </si>
  <si>
    <t>H1 (Hauptebene 1)</t>
  </si>
  <si>
    <t>H2 (Hauptebene 2)</t>
  </si>
  <si>
    <t>dC: Objektivlänge von Objektivvorderseite bis C-Mount Auflage (Zeichnung Pentax)</t>
  </si>
  <si>
    <t>Liegt Bildfeld-Fläche zu Sensor-Fläche 90° verdreht?</t>
  </si>
  <si>
    <t>Welche Seite bestimmt den Abbildungsmaßstab "M": w oder h?</t>
  </si>
  <si>
    <t>Entozentrische Berechnung</t>
  </si>
  <si>
    <t>Beleuchtungsauswahl</t>
  </si>
  <si>
    <t>Schätzung der notwendigen Brennweite (f=Objektgröße G x Abbildungsmaßstab M)</t>
  </si>
  <si>
    <t>Basis für Objektivauswahl:</t>
  </si>
  <si>
    <t>Wunsch-Entfernung</t>
  </si>
  <si>
    <t>f=gxM (Pentax: f=OxM)</t>
  </si>
  <si>
    <t xml:space="preserve">Vision Doctor: Berechnete Brennweiten kleiner als 1.4mm oder größer 500mm werden als unrealistisch deklariert. </t>
  </si>
  <si>
    <t>Zeilenindex mit minim. Abw.:</t>
  </si>
  <si>
    <t>Zeile ("Zeilenindex")</t>
  </si>
  <si>
    <t>Optionale Beeinflussung Auswahl Objektiv:</t>
  </si>
  <si>
    <t>Zeilenindex damit.:</t>
  </si>
  <si>
    <t>Objektivauswahl über f nah an "geschätzter" Brennweite</t>
  </si>
  <si>
    <t>Auswahl weiterer Hardwaredaten aus ermitteltem Objektiv</t>
  </si>
  <si>
    <r>
      <t>…unter Berücks.</t>
    </r>
    <r>
      <rPr>
        <b/>
        <sz val="10"/>
        <color rgb="FFFF0000"/>
        <rFont val="Arial"/>
        <family val="2"/>
      </rPr>
      <t>Limit</t>
    </r>
    <r>
      <rPr>
        <b/>
        <sz val="10"/>
        <rFont val="Arial"/>
        <family val="2"/>
      </rPr>
      <t>:</t>
    </r>
  </si>
  <si>
    <t>Gewählte Hardwaredaten</t>
  </si>
  <si>
    <t>relevante Zeile ("Zeilenindex")</t>
  </si>
  <si>
    <t>d2</t>
  </si>
  <si>
    <t>M</t>
  </si>
  <si>
    <t>ZR</t>
  </si>
  <si>
    <t>Berechnung Auflösung - genügt Pixelzahl Anforderungen Pixel/mm?</t>
  </si>
  <si>
    <t>M wird bestimmt durch h oder w?</t>
  </si>
  <si>
    <t>h bzw. "h-Element" (CCD)</t>
  </si>
  <si>
    <t>h bzw. "h-Element" (CMOS)</t>
  </si>
  <si>
    <t>Berechnung reale Bildgröße aus relevanter Seite und Sensorseitenlänge</t>
  </si>
  <si>
    <t>B (w bzw. h):</t>
  </si>
  <si>
    <t>f focal length Flyer</t>
  </si>
  <si>
    <t>g = f / M+f</t>
  </si>
  <si>
    <t>b = B * g / G</t>
  </si>
  <si>
    <t>Berechnung des Zwischenrings</t>
  </si>
  <si>
    <t>g MOD (Pentax)</t>
  </si>
  <si>
    <t>G MOD =B*(g MOD/f-1)</t>
  </si>
  <si>
    <t>M MOD = B / G MOD</t>
  </si>
  <si>
    <t>ZR = f * (M - M MOD)</t>
  </si>
  <si>
    <t>g = d2 + dVK</t>
  </si>
  <si>
    <t>Entsprechend der bestimmenden Objekt-Seite wird der Abbildungsmaßstab gewählt</t>
  </si>
  <si>
    <t>Dicke XC ("dXC")</t>
  </si>
  <si>
    <t>Dicke Standard ("dXF")</t>
  </si>
  <si>
    <t>d1 = L2 + d2</t>
  </si>
  <si>
    <t>d0 = d1 + dXC</t>
  </si>
  <si>
    <t>Berechnung der Zeichnungsmaße</t>
  </si>
  <si>
    <t>Berechnung XC Tube Modules</t>
  </si>
  <si>
    <t>XC Tube</t>
  </si>
  <si>
    <t>außen</t>
  </si>
  <si>
    <t>innen</t>
  </si>
  <si>
    <t>XC Tube Module</t>
  </si>
  <si>
    <t>XCTi</t>
  </si>
  <si>
    <t>XCTa</t>
  </si>
  <si>
    <t>L1 (calculated)</t>
  </si>
  <si>
    <t>d3 = d1 - L1</t>
  </si>
  <si>
    <t>10mm</t>
  </si>
  <si>
    <t>Durchschnitt</t>
  </si>
  <si>
    <t>d0 = d1 + dXF</t>
  </si>
  <si>
    <t>f (gewählt)</t>
  </si>
  <si>
    <t>MOD-Check (0=Error, 1=ok)</t>
  </si>
  <si>
    <t>d1 (XF) = g - GvH1</t>
  </si>
  <si>
    <t>MAD (Max.Obj.Dist.)</t>
  </si>
  <si>
    <t>MAD</t>
  </si>
  <si>
    <t>MAD-Check (0=Error, 1=ok)</t>
  </si>
  <si>
    <t>out of range</t>
  </si>
  <si>
    <t>L2 (calculated)</t>
  </si>
  <si>
    <t>DE:</t>
  </si>
  <si>
    <t>EN:</t>
  </si>
  <si>
    <t>Recommended Illuminations:</t>
  </si>
  <si>
    <t>Übergeben:</t>
  </si>
  <si>
    <t>Anzeigen:</t>
  </si>
  <si>
    <t>Anzahl weglassen:</t>
  </si>
  <si>
    <t>Anzahl Zeichen:</t>
  </si>
  <si>
    <t>Textstring:</t>
  </si>
  <si>
    <t xml:space="preserve">) </t>
  </si>
  <si>
    <t>(</t>
  </si>
  <si>
    <t>Logisches Ergebnis</t>
  </si>
  <si>
    <t xml:space="preserve">, </t>
  </si>
  <si>
    <t>Trennzeichen:</t>
  </si>
  <si>
    <t>Gültige Beleuchtung:</t>
  </si>
  <si>
    <t>Backlight</t>
  </si>
  <si>
    <t>Durchlicht / Backlight</t>
  </si>
  <si>
    <t>Spiegelaufbau</t>
  </si>
  <si>
    <t>Coaxial Illumination</t>
  </si>
  <si>
    <t>Koaxialbeleuchtung</t>
  </si>
  <si>
    <t>Dark Field Illumination</t>
  </si>
  <si>
    <t>Dunkelfeldbeleuchtung</t>
  </si>
  <si>
    <t>Dome Illumination</t>
  </si>
  <si>
    <t>Dombeleuchtung</t>
  </si>
  <si>
    <t>Direct Front Illumination</t>
  </si>
  <si>
    <t>Direktes Auflicht</t>
  </si>
  <si>
    <t>Incident Light</t>
  </si>
  <si>
    <t>Seitliches Auflicht</t>
  </si>
  <si>
    <t>EN</t>
  </si>
  <si>
    <t>DE</t>
  </si>
  <si>
    <t>3.2.2</t>
  </si>
  <si>
    <t>3.2.1</t>
  </si>
  <si>
    <t>3.1</t>
  </si>
  <si>
    <t>C3</t>
  </si>
  <si>
    <t>2.2</t>
  </si>
  <si>
    <t>C2</t>
  </si>
  <si>
    <t>2.1.2</t>
  </si>
  <si>
    <t>C1</t>
  </si>
  <si>
    <t>2.1.1</t>
  </si>
  <si>
    <t>B3</t>
  </si>
  <si>
    <t>1.2</t>
  </si>
  <si>
    <t>B2</t>
  </si>
  <si>
    <t>1.1.2</t>
  </si>
  <si>
    <t>B1</t>
  </si>
  <si>
    <t>1.1.1</t>
  </si>
  <si>
    <t>A</t>
  </si>
  <si>
    <t>Logisches Ergebnis:</t>
  </si>
  <si>
    <t>C</t>
  </si>
  <si>
    <t>white</t>
  </si>
  <si>
    <t>black</t>
  </si>
  <si>
    <t>red</t>
  </si>
  <si>
    <t>green</t>
  </si>
  <si>
    <t>blue</t>
  </si>
  <si>
    <t>What is the right illumination color for maximum contrast?</t>
  </si>
  <si>
    <t>Background</t>
  </si>
  <si>
    <t>Foreground</t>
  </si>
  <si>
    <t>Illumination-Color</t>
  </si>
  <si>
    <t>all</t>
  </si>
  <si>
    <t>(white)</t>
  </si>
  <si>
    <t>color not applicable, use "reflection" or "shape"</t>
  </si>
  <si>
    <t>IR</t>
  </si>
  <si>
    <t>- No influence on operator</t>
  </si>
  <si>
    <t>UV</t>
  </si>
  <si>
    <t>- Often makes (inkjet-) ink invisible</t>
  </si>
  <si>
    <t>- Highlights flourescent material (clue, ink etc.)</t>
  </si>
  <si>
    <t>- Avoids impact of daylight</t>
  </si>
  <si>
    <t>VeriSens® InMotionUnsharpnessCalculator</t>
  </si>
  <si>
    <t>+/-2mm</t>
  </si>
  <si>
    <t>GvH1 (XF: Abstand Gehäusevorderseite - H1)</t>
  </si>
  <si>
    <t>GvH1</t>
  </si>
  <si>
    <t>MOD Toleranz</t>
  </si>
  <si>
    <t>MAD Toleranz</t>
  </si>
  <si>
    <t>vorhanden: 1</t>
  </si>
  <si>
    <t>Grenze</t>
  </si>
  <si>
    <t>berechnet</t>
  </si>
  <si>
    <t>Width of the moving element:</t>
  </si>
  <si>
    <t>Required close-up ring size</t>
  </si>
  <si>
    <t>Limitierung: Durchsatz</t>
  </si>
  <si>
    <t>Limitierung: Bahngeschwindigkeit</t>
  </si>
  <si>
    <t>ST: Spacer Type</t>
  </si>
  <si>
    <t>L2 = dC + CMH + ST</t>
  </si>
  <si>
    <t>relevant: dC+ ST</t>
  </si>
  <si>
    <t>ST Anzeige</t>
  </si>
  <si>
    <t>Fokussierung Standard-VeriSens</t>
  </si>
  <si>
    <t>t = 1</t>
  </si>
  <si>
    <t>t = 2</t>
  </si>
  <si>
    <t>t = 3</t>
  </si>
  <si>
    <t>m/s</t>
  </si>
  <si>
    <t>m/min</t>
  </si>
  <si>
    <t>Bahngeschwindigkeit</t>
  </si>
  <si>
    <t>Umrechnung auf m/s</t>
  </si>
  <si>
    <t>Umrechnungsfaktor</t>
  </si>
  <si>
    <t>Selected exposure time:</t>
  </si>
  <si>
    <t>Belichtungszeit</t>
  </si>
  <si>
    <t>in s</t>
  </si>
  <si>
    <t>Teile/s</t>
  </si>
  <si>
    <t>zurückgelegter Weg in m</t>
  </si>
  <si>
    <t>zurückgelegter Weg in mm</t>
  </si>
  <si>
    <t>Part width on image:</t>
  </si>
  <si>
    <t>Movement:</t>
  </si>
  <si>
    <t>(under development)</t>
  </si>
  <si>
    <t>http://www.vision-doctor.de/kameraberechnungen/belichtungszeit-berechnen.html</t>
  </si>
  <si>
    <t>Mirror Solutions</t>
  </si>
  <si>
    <t>© Michael Steinicke, Baumer Optronic GmbH</t>
  </si>
  <si>
    <t>Input</t>
  </si>
  <si>
    <t>Line Speed:</t>
  </si>
  <si>
    <t>Accepted Unsharpness:</t>
  </si>
  <si>
    <t>Pixel</t>
  </si>
  <si>
    <t>vertical</t>
  </si>
  <si>
    <t>Orientation Movement (Dimensions from OpticFinder):</t>
  </si>
  <si>
    <t>Field of view</t>
  </si>
  <si>
    <t>Auswahl Richtung</t>
  </si>
  <si>
    <t>entspricht</t>
  </si>
  <si>
    <t>Auswahl:</t>
  </si>
  <si>
    <t>Note: Typical 3 Pixel</t>
  </si>
  <si>
    <t>Size utilized sensor side</t>
  </si>
  <si>
    <r>
      <rPr>
        <b/>
        <i/>
        <sz val="12"/>
        <rFont val="Arial"/>
        <family val="2"/>
      </rPr>
      <t>VeriSens</t>
    </r>
    <r>
      <rPr>
        <b/>
        <vertAlign val="superscript"/>
        <sz val="12"/>
        <rFont val="Arial"/>
        <family val="2"/>
      </rPr>
      <t>®</t>
    </r>
    <r>
      <rPr>
        <b/>
        <sz val="12"/>
        <rFont val="Arial"/>
        <family val="2"/>
      </rPr>
      <t xml:space="preserve"> Tools: Optics (endocentric)</t>
    </r>
  </si>
  <si>
    <r>
      <t xml:space="preserve">Which </t>
    </r>
    <r>
      <rPr>
        <b/>
        <i/>
        <sz val="12"/>
        <color rgb="FF0070C0"/>
        <rFont val="Arial"/>
        <family val="2"/>
      </rPr>
      <t>VeriSens</t>
    </r>
    <r>
      <rPr>
        <b/>
        <vertAlign val="superscript"/>
        <sz val="12"/>
        <color rgb="FF0070C0"/>
        <rFont val="Arial"/>
        <family val="2"/>
      </rPr>
      <t>®</t>
    </r>
    <r>
      <rPr>
        <b/>
        <sz val="12"/>
        <color rgb="FF0070C0"/>
        <rFont val="Arial"/>
        <family val="2"/>
      </rPr>
      <t xml:space="preserve"> supports resolution?</t>
    </r>
  </si>
  <si>
    <r>
      <rPr>
        <b/>
        <i/>
        <sz val="12"/>
        <rFont val="Arial"/>
        <family val="2"/>
      </rPr>
      <t>VeriSens</t>
    </r>
    <r>
      <rPr>
        <b/>
        <vertAlign val="superscript"/>
        <sz val="12"/>
        <rFont val="Arial"/>
        <family val="2"/>
      </rPr>
      <t>®</t>
    </r>
    <r>
      <rPr>
        <b/>
        <sz val="12"/>
        <rFont val="Arial"/>
        <family val="2"/>
      </rPr>
      <t xml:space="preserve"> Tools: Illumination</t>
    </r>
  </si>
  <si>
    <r>
      <rPr>
        <b/>
        <i/>
        <sz val="12"/>
        <rFont val="Arial"/>
        <family val="2"/>
      </rPr>
      <t>VeriSens</t>
    </r>
    <r>
      <rPr>
        <b/>
        <vertAlign val="superscript"/>
        <sz val="12"/>
        <rFont val="Arial"/>
        <family val="2"/>
      </rPr>
      <t>®</t>
    </r>
    <r>
      <rPr>
        <b/>
        <sz val="12"/>
        <rFont val="Arial"/>
        <family val="2"/>
      </rPr>
      <t xml:space="preserve"> Tools: Illumination Color</t>
    </r>
  </si>
  <si>
    <t>The tool provides some guideline to select lens and illuminiation; however, results need to be tested and verified before implementation.</t>
  </si>
  <si>
    <t>Sobald ZR Berechnung positiv, dann ZR verwenden</t>
  </si>
  <si>
    <t>Minimal erreichte Auflösung</t>
  </si>
  <si>
    <t>Nutzung w (=1)</t>
  </si>
  <si>
    <t>Nutzung h (=1)</t>
  </si>
  <si>
    <t>Auflösung Sensor</t>
  </si>
  <si>
    <t>G (w)</t>
  </si>
  <si>
    <t>G (h)</t>
  </si>
  <si>
    <t>Abbildungsmaßstab bestimmt durch:</t>
  </si>
  <si>
    <t>Nutzung G (h)</t>
  </si>
  <si>
    <t>Nutzung G (w)</t>
  </si>
  <si>
    <t>Resolution Px/mm</t>
  </si>
  <si>
    <t>XF only:</t>
  </si>
  <si>
    <t>dC (bis C-Mount Auflage)</t>
  </si>
  <si>
    <t>AO: Sensor bis C-Mount Auflage</t>
  </si>
  <si>
    <t>d2'</t>
  </si>
  <si>
    <t>g</t>
  </si>
  <si>
    <t>d2' = g - d - H1</t>
  </si>
  <si>
    <t>Option:</t>
  </si>
  <si>
    <t>Select the lens with the next</t>
  </si>
  <si>
    <t>higher or lower focal width</t>
  </si>
  <si>
    <t>d2' (calculated)</t>
  </si>
  <si>
    <t>Note</t>
  </si>
  <si>
    <t>Info: MOD (Minimum Object Distance)</t>
  </si>
  <si>
    <t>Berechnung des realen FOV bei der CS / ID / XF-Serie</t>
  </si>
  <si>
    <r>
      <t xml:space="preserve">Why does the aspect ratio of the </t>
    </r>
    <r>
      <rPr>
        <i/>
        <sz val="10"/>
        <rFont val="Arial"/>
        <family val="2"/>
      </rPr>
      <t>required*</t>
    </r>
    <r>
      <rPr>
        <sz val="10"/>
        <rFont val="Arial"/>
        <family val="2"/>
      </rPr>
      <t xml:space="preserve"> field of view (FOV)  impact the result?</t>
    </r>
  </si>
  <si>
    <t xml:space="preserve"> *) object + tolerances</t>
  </si>
  <si>
    <t>Required field of view (FOV):</t>
  </si>
  <si>
    <r>
      <rPr>
        <i/>
        <sz val="10"/>
        <color rgb="FF0070C0"/>
        <rFont val="Arial"/>
        <family val="2"/>
      </rPr>
      <t>VeriSens</t>
    </r>
    <r>
      <rPr>
        <vertAlign val="superscript"/>
        <sz val="10"/>
        <color rgb="FF0070C0"/>
        <rFont val="Arial"/>
        <family val="2"/>
      </rPr>
      <t>®</t>
    </r>
    <r>
      <rPr>
        <sz val="10"/>
        <color rgb="FF0070C0"/>
        <rFont val="Arial"/>
        <family val="2"/>
      </rPr>
      <t xml:space="preserve"> FOV (width) in this configuration</t>
    </r>
  </si>
  <si>
    <r>
      <rPr>
        <i/>
        <sz val="10"/>
        <color rgb="FF0070C0"/>
        <rFont val="Arial"/>
        <family val="2"/>
      </rPr>
      <t>VeriSens</t>
    </r>
    <r>
      <rPr>
        <vertAlign val="superscript"/>
        <sz val="10"/>
        <color rgb="FF0070C0"/>
        <rFont val="Arial"/>
        <family val="2"/>
      </rPr>
      <t>®</t>
    </r>
    <r>
      <rPr>
        <sz val="10"/>
        <color rgb="FF0070C0"/>
        <rFont val="Arial"/>
        <family val="2"/>
      </rPr>
      <t xml:space="preserve"> FOV (hight) in this configuration</t>
    </r>
  </si>
  <si>
    <t>Achieved resolution (w)</t>
  </si>
  <si>
    <t>Gw (VeriSens)</t>
  </si>
  <si>
    <t>Gh (VeriSens)</t>
  </si>
  <si>
    <t>Achieved resolution in Px/mm</t>
  </si>
  <si>
    <t>Achieved resolution in mm/Px</t>
  </si>
  <si>
    <r>
      <rPr>
        <b/>
        <i/>
        <sz val="12"/>
        <color rgb="FF0070C0"/>
        <rFont val="Arial"/>
        <family val="2"/>
      </rPr>
      <t>VeriSens</t>
    </r>
    <r>
      <rPr>
        <b/>
        <vertAlign val="superscript"/>
        <sz val="12"/>
        <color rgb="FF0070C0"/>
        <rFont val="Arial"/>
        <family val="2"/>
      </rPr>
      <t>®</t>
    </r>
    <r>
      <rPr>
        <b/>
        <sz val="12"/>
        <color rgb="FF0070C0"/>
        <rFont val="Arial"/>
        <family val="2"/>
      </rPr>
      <t xml:space="preserve"> focal width / lens recommandation:</t>
    </r>
  </si>
  <si>
    <t>Selected focal width / lens</t>
  </si>
  <si>
    <t xml:space="preserve">Desired distance d2: </t>
  </si>
  <si>
    <t xml:space="preserve">Required minimum resolution: </t>
  </si>
  <si>
    <t>XF/ID/CS 0.3MP</t>
  </si>
  <si>
    <t>alternativ =</t>
  </si>
  <si>
    <t>=</t>
  </si>
  <si>
    <t>Type</t>
  </si>
  <si>
    <t>ZVL-FL-CC3516-2M 1.6/35mm</t>
  </si>
  <si>
    <t>ZVL-FL-CC7528-2M 2.8/75mm</t>
  </si>
  <si>
    <t>ZVL-FL-CC0815B-VG 1.5/8.5mm</t>
  </si>
  <si>
    <t>8mm</t>
  </si>
  <si>
    <t>12mm</t>
  </si>
  <si>
    <t>ZVL-FL-HC0614-2M 1.2/6mm</t>
  </si>
  <si>
    <t>28.06.19 geändert</t>
  </si>
  <si>
    <t>ZVL-FL-CC1614A-2M 1.4/16mm</t>
  </si>
  <si>
    <t>ZVL-FL-CC2514A-2M 1.4/25mm</t>
  </si>
  <si>
    <t>ZVL-FL-CC5024A-2M 2.8/50mm</t>
  </si>
  <si>
    <t>ZVL-FL-CC1214A-2M 1.4/12mm</t>
  </si>
  <si>
    <t>XF / 12 mm</t>
  </si>
  <si>
    <t>XF / 8 mm</t>
  </si>
  <si>
    <t>XF / 10 mm</t>
  </si>
  <si>
    <t>XF / 16 mm</t>
  </si>
  <si>
    <t>-1: eine f kleiner, +1 = eine f größer</t>
  </si>
  <si>
    <t>Abfangen, dass Zeilenindex nicht außerhalb verfügbarer Objektive springt (z.B. auf 0)</t>
  </si>
  <si>
    <t>ZVL-FL-CC0814A-2M 1.5/8.0mm</t>
  </si>
  <si>
    <t>FL-HC0416X-VG 4.2 mm</t>
  </si>
  <si>
    <t>Fehler: Nur VGA!</t>
  </si>
  <si>
    <t>und dass nur geeignete Objektive genommen werden</t>
  </si>
  <si>
    <t>8,0 mm</t>
  </si>
  <si>
    <t>8,5 mm</t>
  </si>
  <si>
    <t>12 mm</t>
  </si>
  <si>
    <t>16 mm</t>
  </si>
  <si>
    <t>25 mm</t>
  </si>
  <si>
    <t>35 mm</t>
  </si>
  <si>
    <t>50 mm</t>
  </si>
  <si>
    <t>75 mm</t>
  </si>
  <si>
    <t>6,0 mm</t>
  </si>
  <si>
    <t>XC Tube_12mm</t>
  </si>
  <si>
    <t>XC Tube_6mm</t>
  </si>
  <si>
    <t>L1 = XCTa + n * XC Tube_12mm + m * XC Tube_6mm</t>
  </si>
  <si>
    <t>korrigierte Anzahl XCT_12mm</t>
  </si>
  <si>
    <t>n (Anzahl XCT_12mm)</t>
  </si>
  <si>
    <t>n (Anzahl XCT_6mm)</t>
  </si>
  <si>
    <t>n (Anzahl XCT 12 mm) Formatierung</t>
  </si>
  <si>
    <t>n (Anzahl XCT 6 mm) Formatierung</t>
  </si>
  <si>
    <t>Number of required XC Tube Modules 12 mm (Item No. 11089149)</t>
  </si>
  <si>
    <t>Number of required XC Tube Modules 6 mm (Item No. 11115649)</t>
  </si>
  <si>
    <t>Tubemodul-Bedarf Länge</t>
  </si>
  <si>
    <t>RestPlatz im Rohr mit XCT_12mm</t>
  </si>
  <si>
    <t>Version 2.3.6 (April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</si>
</sst>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 &quot;mm&quot;"/>
    <numFmt numFmtId="165" formatCode="0.00000"/>
    <numFmt numFmtId="166" formatCode="0.0"/>
    <numFmt numFmtId="167" formatCode="#,##0.0\ &quot;mm&quot;"/>
    <numFmt numFmtId="168" formatCode="#,##0\ &quot;mm&quot;"/>
    <numFmt numFmtId="169" formatCode="#,##0.0"/>
    <numFmt numFmtId="170" formatCode="#,##0.00\ &quot;mm&quot;"/>
    <numFmt numFmtId="171" formatCode="#,##0.0\ &quot;Px/mm&quot;"/>
    <numFmt numFmtId="172" formatCode="0.000"/>
    <numFmt numFmtId="173" formatCode="#,##0.000000\ &quot;mm&quot;"/>
    <numFmt numFmtId="174" formatCode="0.000000"/>
    <numFmt numFmtId="175" formatCode="#.0\ &quot;mm&quot;"/>
    <numFmt numFmtId="176" formatCode="0.0000"/>
    <numFmt numFmtId="177" formatCode="#,##0\ &quot;µs&quot;"/>
    <numFmt numFmtId="178" formatCode="#,##0.0000\ &quot;s&quot;"/>
    <numFmt numFmtId="179" formatCode="#0.000\ &quot;mm&quot;"/>
    <numFmt numFmtId="180" formatCode="00000"/>
    <numFmt numFmtId="181" formatCode="#,##0.0\ &quot;mm/Px&quot;"/>
    <numFmt numFmtId="182" formatCode="#,##0.00\ &quot;mm/Px&quot;"/>
    <numFmt numFmtId="183" formatCode="#,##0\ &quot;µ/Px&quot;"/>
  </numFmts>
  <fonts count="60" x14ac:knownFonts="1">
    <font>
      <sz val="10"/>
      <name val="Arial"/>
    </font>
    <font>
      <sz val="10"/>
      <color theme="1"/>
      <name val="Arial"/>
      <family val="2"/>
    </font>
    <font>
      <sz val="10"/>
      <color theme="1"/>
      <name val="Arial"/>
      <family val="2"/>
    </font>
    <font>
      <sz val="10"/>
      <color theme="1"/>
      <name val="Arial"/>
      <family val="2"/>
    </font>
    <font>
      <b/>
      <sz val="10"/>
      <name val="Arial"/>
      <family val="2"/>
    </font>
    <font>
      <b/>
      <sz val="12"/>
      <name val="Arial"/>
      <family val="2"/>
    </font>
    <font>
      <sz val="10"/>
      <name val="Arial"/>
      <family val="2"/>
    </font>
    <font>
      <u/>
      <sz val="10"/>
      <color theme="10"/>
      <name val="Arial"/>
      <family val="2"/>
    </font>
    <font>
      <sz val="10"/>
      <color rgb="FFFF0000"/>
      <name val="Arial"/>
      <family val="2"/>
    </font>
    <font>
      <sz val="8"/>
      <color indexed="81"/>
      <name val="Tahoma"/>
      <family val="2"/>
    </font>
    <font>
      <b/>
      <sz val="8"/>
      <color indexed="81"/>
      <name val="Tahoma"/>
      <family val="2"/>
    </font>
    <font>
      <b/>
      <sz val="10"/>
      <color theme="0" tint="-0.34998626667073579"/>
      <name val="Arial"/>
      <family val="2"/>
    </font>
    <font>
      <b/>
      <i/>
      <sz val="10"/>
      <name val="Arial"/>
      <family val="2"/>
    </font>
    <font>
      <b/>
      <u/>
      <sz val="10"/>
      <color theme="10"/>
      <name val="Arial"/>
      <family val="2"/>
    </font>
    <font>
      <b/>
      <sz val="10"/>
      <color theme="0" tint="-0.499984740745262"/>
      <name val="Arial"/>
      <family val="2"/>
    </font>
    <font>
      <sz val="10"/>
      <color theme="0" tint="-0.499984740745262"/>
      <name val="Arial"/>
      <family val="2"/>
    </font>
    <font>
      <b/>
      <sz val="12"/>
      <color theme="0"/>
      <name val="Arial"/>
      <family val="2"/>
    </font>
    <font>
      <sz val="10"/>
      <color theme="0" tint="-0.34998626667073579"/>
      <name val="Arial"/>
      <family val="2"/>
    </font>
    <font>
      <u/>
      <sz val="10"/>
      <color rgb="FFFF0000"/>
      <name val="Arial"/>
      <family val="2"/>
    </font>
    <font>
      <i/>
      <sz val="10"/>
      <name val="Arial"/>
      <family val="2"/>
    </font>
    <font>
      <sz val="10"/>
      <name val="Arial"/>
      <family val="2"/>
    </font>
    <font>
      <sz val="12"/>
      <name val="Arial"/>
      <family val="2"/>
    </font>
    <font>
      <sz val="10"/>
      <color theme="0" tint="-0.14999847407452621"/>
      <name val="Arial"/>
      <family val="2"/>
    </font>
    <font>
      <sz val="8"/>
      <color rgb="FF000000"/>
      <name val="Tahoma"/>
      <family val="2"/>
    </font>
    <font>
      <i/>
      <sz val="10"/>
      <color theme="7" tint="-0.249977111117893"/>
      <name val="Arial"/>
      <family val="2"/>
    </font>
    <font>
      <sz val="10"/>
      <color rgb="FF0070C0"/>
      <name val="Arial"/>
      <family val="2"/>
    </font>
    <font>
      <b/>
      <sz val="10"/>
      <color rgb="FFFF0000"/>
      <name val="Arial"/>
      <family val="2"/>
    </font>
    <font>
      <b/>
      <sz val="12"/>
      <color rgb="FF0070C0"/>
      <name val="Arial"/>
      <family val="2"/>
    </font>
    <font>
      <sz val="12"/>
      <color rgb="FF0070C0"/>
      <name val="Arial"/>
      <family val="2"/>
    </font>
    <font>
      <b/>
      <sz val="12"/>
      <color theme="0" tint="-0.14999847407452621"/>
      <name val="Arial"/>
      <family val="2"/>
    </font>
    <font>
      <b/>
      <sz val="10"/>
      <color theme="1"/>
      <name val="Arial"/>
      <family val="2"/>
    </font>
    <font>
      <sz val="8"/>
      <color theme="1"/>
      <name val="Arial"/>
      <family val="2"/>
    </font>
    <font>
      <sz val="10"/>
      <color rgb="FF333333"/>
      <name val="Arial"/>
      <family val="2"/>
    </font>
    <font>
      <b/>
      <sz val="8"/>
      <color theme="1"/>
      <name val="Arial"/>
      <family val="2"/>
    </font>
    <font>
      <b/>
      <i/>
      <sz val="10"/>
      <color rgb="FF0070C0"/>
      <name val="Arial"/>
      <family val="2"/>
    </font>
    <font>
      <b/>
      <i/>
      <sz val="10"/>
      <color rgb="FF92D050"/>
      <name val="Arial"/>
      <family val="2"/>
    </font>
    <font>
      <b/>
      <i/>
      <sz val="10"/>
      <color rgb="FFFF0000"/>
      <name val="Arial"/>
      <family val="2"/>
    </font>
    <font>
      <sz val="24"/>
      <color rgb="FF00B0F0"/>
      <name val="Arial"/>
      <family val="2"/>
    </font>
    <font>
      <i/>
      <sz val="8"/>
      <color theme="0" tint="-0.34998626667073579"/>
      <name val="Arial"/>
      <family val="2"/>
    </font>
    <font>
      <sz val="10"/>
      <color rgb="FF00B0F0"/>
      <name val="Arial"/>
      <family val="2"/>
    </font>
    <font>
      <i/>
      <sz val="12"/>
      <color rgb="FF00B0F0"/>
      <name val="Arial"/>
      <family val="2"/>
    </font>
    <font>
      <b/>
      <sz val="12"/>
      <color theme="1" tint="0.499984740745262"/>
      <name val="Arial"/>
      <family val="2"/>
    </font>
    <font>
      <b/>
      <i/>
      <sz val="10"/>
      <color theme="1" tint="0.499984740745262"/>
      <name val="Arial"/>
      <family val="2"/>
    </font>
    <font>
      <sz val="12"/>
      <color theme="1"/>
      <name val="Arial"/>
      <family val="2"/>
    </font>
    <font>
      <sz val="10"/>
      <color theme="0"/>
      <name val="Arial"/>
      <family val="2"/>
    </font>
    <font>
      <b/>
      <sz val="14"/>
      <color rgb="FF0070C0"/>
      <name val="Arial"/>
      <family val="2"/>
    </font>
    <font>
      <b/>
      <i/>
      <sz val="12"/>
      <name val="Arial"/>
      <family val="2"/>
    </font>
    <font>
      <b/>
      <vertAlign val="superscript"/>
      <sz val="12"/>
      <name val="Arial"/>
      <family val="2"/>
    </font>
    <font>
      <b/>
      <vertAlign val="superscript"/>
      <sz val="12"/>
      <color rgb="FF0070C0"/>
      <name val="Arial"/>
      <family val="2"/>
    </font>
    <font>
      <b/>
      <i/>
      <sz val="12"/>
      <color rgb="FF0070C0"/>
      <name val="Arial"/>
      <family val="2"/>
    </font>
    <font>
      <b/>
      <sz val="12"/>
      <color rgb="FFFF0000"/>
      <name val="Arial"/>
      <family val="2"/>
    </font>
    <font>
      <b/>
      <sz val="12"/>
      <color theme="0" tint="-0.499984740745262"/>
      <name val="Arial"/>
      <family val="2"/>
    </font>
    <font>
      <sz val="8"/>
      <name val="Arial"/>
      <family val="2"/>
    </font>
    <font>
      <i/>
      <sz val="10"/>
      <color rgb="FF0070C0"/>
      <name val="Arial"/>
      <family val="2"/>
    </font>
    <font>
      <vertAlign val="superscript"/>
      <sz val="10"/>
      <color rgb="FF0070C0"/>
      <name val="Arial"/>
      <family val="2"/>
    </font>
    <font>
      <sz val="10"/>
      <color theme="1" tint="0.499984740745262"/>
      <name val="Arial"/>
      <family val="2"/>
    </font>
    <font>
      <sz val="9"/>
      <color indexed="81"/>
      <name val="Tahoma"/>
      <family val="2"/>
    </font>
    <font>
      <b/>
      <sz val="9"/>
      <color indexed="81"/>
      <name val="Tahoma"/>
      <family val="2"/>
    </font>
    <font>
      <u/>
      <sz val="10"/>
      <name val="Arial"/>
      <family val="2"/>
    </font>
    <font>
      <b/>
      <sz val="10"/>
      <color theme="3"/>
      <name val="Arial"/>
      <family val="2"/>
    </font>
  </fonts>
  <fills count="1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1"/>
        <bgColor indexed="64"/>
      </patternFill>
    </fill>
    <fill>
      <patternFill patternType="solid">
        <fgColor rgb="FFFF0000"/>
        <bgColor indexed="64"/>
      </patternFill>
    </fill>
    <fill>
      <patternFill patternType="solid">
        <fgColor rgb="FF0070C0"/>
        <bgColor indexed="64"/>
      </patternFill>
    </fill>
    <fill>
      <patternFill patternType="solid">
        <fgColor rgb="FF92D050"/>
        <bgColor indexed="64"/>
      </patternFill>
    </fill>
    <fill>
      <patternFill patternType="darkGray">
        <fgColor rgb="FFFF0000"/>
        <bgColor auto="1"/>
      </patternFill>
    </fill>
    <fill>
      <patternFill patternType="darkGray">
        <fgColor rgb="FF00B0F0"/>
        <bgColor rgb="FF0070C0"/>
      </patternFill>
    </fill>
    <fill>
      <patternFill patternType="solid">
        <fgColor theme="0" tint="-0.34998626667073579"/>
        <bgColor indexed="64"/>
      </patternFill>
    </fill>
    <fill>
      <patternFill patternType="solid">
        <fgColor rgb="FF00B0F0"/>
        <bgColor indexed="64"/>
      </patternFill>
    </fill>
    <fill>
      <patternFill patternType="solid">
        <fgColor theme="3"/>
        <bgColor indexed="64"/>
      </patternFill>
    </fill>
  </fills>
  <borders count="4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hair">
        <color theme="0" tint="-0.14996795556505021"/>
      </top>
      <bottom style="hair">
        <color theme="0" tint="-0.1499679555650502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rgb="FF00B0F0"/>
      </left>
      <right style="medium">
        <color rgb="FF00B0F0"/>
      </right>
      <top style="medium">
        <color rgb="FF00B0F0"/>
      </top>
      <bottom style="medium">
        <color rgb="FF00B0F0"/>
      </bottom>
      <diagonal/>
    </border>
    <border>
      <left style="medium">
        <color rgb="FF00B0F0"/>
      </left>
      <right/>
      <top style="medium">
        <color rgb="FF00B0F0"/>
      </top>
      <bottom/>
      <diagonal/>
    </border>
    <border>
      <left/>
      <right/>
      <top style="medium">
        <color rgb="FF00B0F0"/>
      </top>
      <bottom/>
      <diagonal/>
    </border>
    <border>
      <left/>
      <right style="medium">
        <color rgb="FF00B0F0"/>
      </right>
      <top style="medium">
        <color rgb="FF00B0F0"/>
      </top>
      <bottom/>
      <diagonal/>
    </border>
    <border>
      <left/>
      <right style="medium">
        <color rgb="FF00B0F0"/>
      </right>
      <top/>
      <bottom/>
      <diagonal/>
    </border>
    <border>
      <left style="medium">
        <color rgb="FF00B0F0"/>
      </left>
      <right/>
      <top/>
      <bottom/>
      <diagonal/>
    </border>
    <border>
      <left style="medium">
        <color rgb="FF00B0F0"/>
      </left>
      <right/>
      <top/>
      <bottom style="medium">
        <color rgb="FF00B0F0"/>
      </bottom>
      <diagonal/>
    </border>
    <border>
      <left/>
      <right/>
      <top/>
      <bottom style="medium">
        <color rgb="FF00B0F0"/>
      </bottom>
      <diagonal/>
    </border>
    <border>
      <left/>
      <right style="medium">
        <color rgb="FF00B0F0"/>
      </right>
      <top/>
      <bottom style="medium">
        <color rgb="FF00B0F0"/>
      </bottom>
      <diagonal/>
    </border>
    <border>
      <left style="hair">
        <color indexed="64"/>
      </left>
      <right style="hair">
        <color indexed="64"/>
      </right>
      <top style="medium">
        <color rgb="FF00B0F0"/>
      </top>
      <bottom/>
      <diagonal/>
    </border>
    <border>
      <left style="hair">
        <color indexed="64"/>
      </left>
      <right style="hair">
        <color indexed="64"/>
      </right>
      <top/>
      <bottom/>
      <diagonal/>
    </border>
    <border>
      <left style="hair">
        <color indexed="64"/>
      </left>
      <right style="hair">
        <color indexed="64"/>
      </right>
      <top/>
      <bottom style="medium">
        <color rgb="FF00B0F0"/>
      </bottom>
      <diagonal/>
    </border>
    <border>
      <left style="medium">
        <color rgb="FF00B0F0"/>
      </left>
      <right/>
      <top style="hair">
        <color auto="1"/>
      </top>
      <bottom/>
      <diagonal/>
    </border>
    <border>
      <left style="hair">
        <color indexed="64"/>
      </left>
      <right style="hair">
        <color indexed="64"/>
      </right>
      <top style="hair">
        <color auto="1"/>
      </top>
      <bottom/>
      <diagonal/>
    </border>
    <border>
      <left/>
      <right/>
      <top style="hair">
        <color auto="1"/>
      </top>
      <bottom/>
      <diagonal/>
    </border>
    <border>
      <left/>
      <right style="medium">
        <color rgb="FF00B0F0"/>
      </right>
      <top style="hair">
        <color auto="1"/>
      </top>
      <bottom/>
      <diagonal/>
    </border>
    <border>
      <left style="medium">
        <color rgb="FF00B0F0"/>
      </left>
      <right/>
      <top/>
      <bottom style="hair">
        <color auto="1"/>
      </bottom>
      <diagonal/>
    </border>
    <border>
      <left style="hair">
        <color indexed="64"/>
      </left>
      <right style="hair">
        <color indexed="64"/>
      </right>
      <top/>
      <bottom style="hair">
        <color auto="1"/>
      </bottom>
      <diagonal/>
    </border>
    <border>
      <left/>
      <right/>
      <top/>
      <bottom style="hair">
        <color auto="1"/>
      </bottom>
      <diagonal/>
    </border>
    <border>
      <left/>
      <right style="medium">
        <color rgb="FF00B0F0"/>
      </right>
      <top/>
      <bottom style="hair">
        <color auto="1"/>
      </bottom>
      <diagonal/>
    </border>
    <border>
      <left style="medium">
        <color rgb="FF00B0F0"/>
      </left>
      <right/>
      <top style="hair">
        <color auto="1"/>
      </top>
      <bottom style="medium">
        <color rgb="FF00B0F0"/>
      </bottom>
      <diagonal/>
    </border>
    <border>
      <left style="hair">
        <color auto="1"/>
      </left>
      <right style="medium">
        <color rgb="FF00B0F0"/>
      </right>
      <top style="medium">
        <color rgb="FF00B0F0"/>
      </top>
      <bottom/>
      <diagonal/>
    </border>
    <border>
      <left style="hair">
        <color auto="1"/>
      </left>
      <right style="medium">
        <color rgb="FF00B0F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ck">
        <color theme="3"/>
      </left>
      <right/>
      <top/>
      <bottom style="thick">
        <color theme="3"/>
      </bottom>
      <diagonal/>
    </border>
    <border>
      <left style="thick">
        <color theme="3"/>
      </left>
      <right/>
      <top/>
      <bottom/>
      <diagonal/>
    </border>
    <border>
      <left/>
      <right/>
      <top/>
      <bottom style="thick">
        <color theme="3"/>
      </bottom>
      <diagonal/>
    </border>
    <border>
      <left/>
      <right style="thick">
        <color theme="3"/>
      </right>
      <top/>
      <bottom style="thick">
        <color theme="3"/>
      </bottom>
      <diagonal/>
    </border>
    <border>
      <left/>
      <right style="thick">
        <color theme="3"/>
      </right>
      <top/>
      <bottom/>
      <diagonal/>
    </border>
    <border>
      <left style="thick">
        <color theme="3"/>
      </left>
      <right/>
      <top style="hair">
        <color theme="0" tint="-0.14996795556505021"/>
      </top>
      <bottom style="hair">
        <color theme="0" tint="-0.14996795556505021"/>
      </bottom>
      <diagonal/>
    </border>
    <border>
      <left/>
      <right/>
      <top style="hair">
        <color theme="0" tint="-0.14996795556505021"/>
      </top>
      <bottom style="thick">
        <color theme="3"/>
      </bottom>
      <diagonal/>
    </border>
  </borders>
  <cellStyleXfs count="4">
    <xf numFmtId="0" fontId="0" fillId="0" borderId="0"/>
    <xf numFmtId="0" fontId="7" fillId="0" borderId="0" applyNumberFormat="0" applyFill="0" applyBorder="0" applyAlignment="0" applyProtection="0"/>
    <xf numFmtId="9" fontId="20" fillId="0" borderId="0" applyFont="0" applyFill="0" applyBorder="0" applyAlignment="0" applyProtection="0"/>
    <xf numFmtId="0" fontId="3" fillId="0" borderId="0"/>
  </cellStyleXfs>
  <cellXfs count="362">
    <xf numFmtId="0" fontId="0" fillId="0" borderId="0" xfId="0"/>
    <xf numFmtId="0" fontId="0" fillId="0" borderId="0" xfId="0" applyAlignment="1">
      <alignment vertical="top"/>
    </xf>
    <xf numFmtId="0" fontId="4" fillId="0" borderId="0" xfId="0" applyFont="1"/>
    <xf numFmtId="0" fontId="6" fillId="0" borderId="0" xfId="0" applyFont="1"/>
    <xf numFmtId="165" fontId="0" fillId="0" borderId="0" xfId="0" applyNumberFormat="1"/>
    <xf numFmtId="0" fontId="4" fillId="3" borderId="0" xfId="0" applyFont="1" applyFill="1"/>
    <xf numFmtId="0" fontId="7" fillId="0" borderId="0" xfId="1"/>
    <xf numFmtId="0" fontId="8" fillId="0" borderId="0" xfId="0" applyFont="1"/>
    <xf numFmtId="0" fontId="6" fillId="0" borderId="0" xfId="0" applyFont="1" applyAlignment="1">
      <alignment vertical="top"/>
    </xf>
    <xf numFmtId="0" fontId="12" fillId="0" borderId="0" xfId="0" applyFont="1"/>
    <xf numFmtId="0" fontId="5" fillId="0" borderId="0" xfId="0" applyFont="1" applyBorder="1"/>
    <xf numFmtId="166" fontId="0" fillId="0" borderId="0" xfId="0" applyNumberFormat="1"/>
    <xf numFmtId="167" fontId="6" fillId="0" borderId="0" xfId="0" applyNumberFormat="1" applyFont="1"/>
    <xf numFmtId="167" fontId="8" fillId="0" borderId="0" xfId="0" applyNumberFormat="1" applyFont="1"/>
    <xf numFmtId="165" fontId="6" fillId="0" borderId="0" xfId="0" applyNumberFormat="1" applyFont="1"/>
    <xf numFmtId="0" fontId="4" fillId="3" borderId="0" xfId="0" applyFont="1" applyFill="1" applyAlignment="1">
      <alignment wrapText="1"/>
    </xf>
    <xf numFmtId="0" fontId="0" fillId="0" borderId="0" xfId="0" applyAlignment="1">
      <alignment wrapText="1"/>
    </xf>
    <xf numFmtId="0" fontId="6" fillId="0" borderId="0" xfId="0" applyFont="1" applyAlignment="1">
      <alignment wrapText="1"/>
    </xf>
    <xf numFmtId="0" fontId="6" fillId="0" borderId="0" xfId="0" applyFont="1" applyAlignment="1">
      <alignment horizontal="right"/>
    </xf>
    <xf numFmtId="0" fontId="0" fillId="0" borderId="0" xfId="0" applyAlignment="1">
      <alignment horizontal="center"/>
    </xf>
    <xf numFmtId="0" fontId="5" fillId="0" borderId="0" xfId="0" applyFont="1" applyAlignment="1">
      <alignment vertical="top"/>
    </xf>
    <xf numFmtId="0" fontId="13" fillId="0" borderId="0" xfId="1" applyFont="1"/>
    <xf numFmtId="167" fontId="0" fillId="0" borderId="0" xfId="0" applyNumberFormat="1"/>
    <xf numFmtId="169" fontId="0" fillId="0" borderId="0" xfId="0" applyNumberFormat="1"/>
    <xf numFmtId="167" fontId="4" fillId="0" borderId="0" xfId="0" applyNumberFormat="1" applyFont="1" applyAlignment="1">
      <alignment vertical="top"/>
    </xf>
    <xf numFmtId="0" fontId="4" fillId="4" borderId="0" xfId="0" applyFont="1" applyFill="1"/>
    <xf numFmtId="0" fontId="6" fillId="4" borderId="0" xfId="0" applyFont="1" applyFill="1"/>
    <xf numFmtId="0" fontId="0" fillId="4" borderId="0" xfId="0" applyFill="1"/>
    <xf numFmtId="166" fontId="0" fillId="4" borderId="0" xfId="0" applyNumberFormat="1" applyFill="1"/>
    <xf numFmtId="0" fontId="4" fillId="4" borderId="0" xfId="0" applyFont="1" applyFill="1" applyAlignment="1">
      <alignment wrapText="1"/>
    </xf>
    <xf numFmtId="0" fontId="14" fillId="4" borderId="0" xfId="0" applyFont="1" applyFill="1"/>
    <xf numFmtId="167" fontId="6" fillId="4" borderId="0" xfId="0" applyNumberFormat="1" applyFont="1" applyFill="1"/>
    <xf numFmtId="167" fontId="15" fillId="4" borderId="0" xfId="0" applyNumberFormat="1" applyFont="1" applyFill="1"/>
    <xf numFmtId="168" fontId="6" fillId="4" borderId="0" xfId="0" applyNumberFormat="1" applyFont="1" applyFill="1"/>
    <xf numFmtId="0" fontId="0" fillId="0" borderId="0" xfId="0" applyFill="1"/>
    <xf numFmtId="0" fontId="4" fillId="0" borderId="0" xfId="0" applyFont="1" applyFill="1"/>
    <xf numFmtId="0" fontId="4" fillId="5" borderId="0" xfId="0" applyFont="1" applyFill="1"/>
    <xf numFmtId="0" fontId="6" fillId="0" borderId="0" xfId="0" applyFont="1" applyFill="1"/>
    <xf numFmtId="0" fontId="0" fillId="0" borderId="0" xfId="0" applyBorder="1" applyAlignment="1">
      <alignment vertical="top"/>
    </xf>
    <xf numFmtId="0" fontId="5" fillId="0" borderId="0" xfId="0" applyFont="1" applyBorder="1" applyAlignment="1">
      <alignment vertical="top"/>
    </xf>
    <xf numFmtId="166" fontId="8" fillId="0" borderId="0" xfId="0" applyNumberFormat="1" applyFont="1"/>
    <xf numFmtId="167" fontId="17" fillId="0" borderId="0" xfId="0" applyNumberFormat="1" applyFont="1"/>
    <xf numFmtId="0" fontId="8" fillId="2" borderId="0" xfId="0" applyFont="1" applyFill="1"/>
    <xf numFmtId="0" fontId="0" fillId="0" borderId="0" xfId="0" applyAlignment="1"/>
    <xf numFmtId="0" fontId="8" fillId="4" borderId="0" xfId="0" applyFont="1" applyFill="1"/>
    <xf numFmtId="0" fontId="18" fillId="0" borderId="0" xfId="1" applyFont="1"/>
    <xf numFmtId="165" fontId="8" fillId="0" borderId="0" xfId="0" applyNumberFormat="1" applyFont="1"/>
    <xf numFmtId="165" fontId="4" fillId="0" borderId="0" xfId="0" applyNumberFormat="1" applyFont="1"/>
    <xf numFmtId="166" fontId="4" fillId="0" borderId="0" xfId="0" applyNumberFormat="1" applyFont="1"/>
    <xf numFmtId="165" fontId="12" fillId="0" borderId="0" xfId="0" applyNumberFormat="1" applyFont="1"/>
    <xf numFmtId="166" fontId="12" fillId="0" borderId="0" xfId="0" applyNumberFormat="1" applyFont="1"/>
    <xf numFmtId="0" fontId="19" fillId="0" borderId="0" xfId="0" applyFont="1"/>
    <xf numFmtId="0" fontId="6" fillId="0" borderId="0" xfId="0" applyFont="1" applyAlignment="1"/>
    <xf numFmtId="167" fontId="0" fillId="0" borderId="0" xfId="0" applyNumberFormat="1" applyAlignment="1"/>
    <xf numFmtId="0" fontId="8" fillId="0" borderId="0" xfId="0" applyFont="1" applyAlignment="1"/>
    <xf numFmtId="0" fontId="0" fillId="0" borderId="0" xfId="0" applyAlignment="1"/>
    <xf numFmtId="0" fontId="0" fillId="0" borderId="0" xfId="0" applyAlignment="1"/>
    <xf numFmtId="0" fontId="4" fillId="0" borderId="0" xfId="0" applyFont="1" applyAlignment="1"/>
    <xf numFmtId="0" fontId="4" fillId="0" borderId="0" xfId="0" applyFont="1" applyAlignment="1">
      <alignment wrapText="1"/>
    </xf>
    <xf numFmtId="165" fontId="4" fillId="0" borderId="0" xfId="0" applyNumberFormat="1" applyFont="1" applyAlignment="1">
      <alignment wrapText="1"/>
    </xf>
    <xf numFmtId="167" fontId="4" fillId="0" borderId="0" xfId="0" applyNumberFormat="1" applyFont="1"/>
    <xf numFmtId="0" fontId="21" fillId="0" borderId="0" xfId="0" applyFont="1" applyAlignment="1">
      <alignment vertical="top"/>
    </xf>
    <xf numFmtId="0" fontId="0" fillId="0" borderId="3" xfId="0" applyBorder="1" applyAlignment="1">
      <alignment vertical="top"/>
    </xf>
    <xf numFmtId="167" fontId="4" fillId="0" borderId="3" xfId="0" applyNumberFormat="1" applyFont="1" applyBorder="1" applyAlignment="1">
      <alignment vertical="top"/>
    </xf>
    <xf numFmtId="0" fontId="5" fillId="0" borderId="3" xfId="0" applyFont="1" applyBorder="1" applyAlignment="1">
      <alignment vertical="top"/>
    </xf>
    <xf numFmtId="168" fontId="4" fillId="0" borderId="3" xfId="0" applyNumberFormat="1" applyFont="1" applyBorder="1" applyAlignment="1">
      <alignment vertical="top"/>
    </xf>
    <xf numFmtId="166" fontId="6" fillId="0" borderId="0" xfId="0" applyNumberFormat="1" applyFont="1"/>
    <xf numFmtId="9" fontId="0" fillId="0" borderId="0" xfId="2" applyFont="1"/>
    <xf numFmtId="9" fontId="6" fillId="0" borderId="0" xfId="0" applyNumberFormat="1" applyFont="1" applyAlignment="1">
      <alignment horizontal="right" vertical="top"/>
    </xf>
    <xf numFmtId="168" fontId="6" fillId="0" borderId="0" xfId="0" applyNumberFormat="1" applyFont="1"/>
    <xf numFmtId="0" fontId="6" fillId="0" borderId="0" xfId="0" quotePrefix="1" applyFont="1"/>
    <xf numFmtId="0" fontId="0" fillId="0" borderId="0" xfId="0" applyAlignment="1"/>
    <xf numFmtId="2" fontId="0" fillId="0" borderId="0" xfId="0" applyNumberFormat="1"/>
    <xf numFmtId="2" fontId="6" fillId="0" borderId="0" xfId="0" applyNumberFormat="1" applyFont="1"/>
    <xf numFmtId="170" fontId="6" fillId="4" borderId="0" xfId="0" applyNumberFormat="1" applyFont="1" applyFill="1"/>
    <xf numFmtId="170" fontId="6" fillId="0" borderId="0" xfId="0" applyNumberFormat="1" applyFont="1"/>
    <xf numFmtId="0" fontId="4" fillId="0" borderId="0" xfId="0" quotePrefix="1" applyFont="1"/>
    <xf numFmtId="0" fontId="4" fillId="0" borderId="0" xfId="0" applyFont="1" applyAlignment="1">
      <alignment horizontal="right"/>
    </xf>
    <xf numFmtId="170" fontId="4" fillId="0" borderId="0" xfId="0" applyNumberFormat="1" applyFont="1"/>
    <xf numFmtId="172" fontId="4" fillId="0" borderId="0" xfId="0" applyNumberFormat="1" applyFont="1"/>
    <xf numFmtId="169" fontId="4" fillId="0" borderId="0" xfId="0" applyNumberFormat="1" applyFont="1"/>
    <xf numFmtId="2" fontId="0" fillId="0" borderId="0" xfId="0" applyNumberFormat="1" applyAlignment="1"/>
    <xf numFmtId="2" fontId="19" fillId="0" borderId="0" xfId="0" applyNumberFormat="1" applyFont="1"/>
    <xf numFmtId="173" fontId="0" fillId="0" borderId="0" xfId="0" applyNumberFormat="1" applyAlignment="1"/>
    <xf numFmtId="0" fontId="8" fillId="0" borderId="0" xfId="0" applyFont="1" applyAlignment="1">
      <alignment horizontal="right"/>
    </xf>
    <xf numFmtId="0" fontId="0" fillId="0" borderId="0" xfId="0" applyAlignment="1">
      <alignment vertical="top"/>
    </xf>
    <xf numFmtId="0" fontId="0" fillId="0" borderId="0" xfId="0" applyAlignment="1">
      <alignment horizontal="left"/>
    </xf>
    <xf numFmtId="0" fontId="6" fillId="0" borderId="0" xfId="0" applyFont="1" applyAlignment="1">
      <alignment horizontal="left"/>
    </xf>
    <xf numFmtId="0" fontId="4" fillId="0" borderId="0" xfId="0" applyFont="1" applyAlignment="1">
      <alignment horizontal="left"/>
    </xf>
    <xf numFmtId="2" fontId="4" fillId="0" borderId="0" xfId="0" applyNumberFormat="1" applyFont="1"/>
    <xf numFmtId="167" fontId="11" fillId="0" borderId="0" xfId="0" applyNumberFormat="1" applyFont="1"/>
    <xf numFmtId="9" fontId="4" fillId="0" borderId="0" xfId="2" applyFont="1"/>
    <xf numFmtId="0" fontId="6" fillId="0" borderId="0" xfId="0" applyFont="1" applyFill="1" applyBorder="1"/>
    <xf numFmtId="9" fontId="6" fillId="0" borderId="0" xfId="2" applyFont="1"/>
    <xf numFmtId="172" fontId="0" fillId="0" borderId="0" xfId="0" applyNumberFormat="1"/>
    <xf numFmtId="172" fontId="6" fillId="0" borderId="0" xfId="0" applyNumberFormat="1" applyFont="1"/>
    <xf numFmtId="174" fontId="4" fillId="0" borderId="0" xfId="0" applyNumberFormat="1" applyFont="1"/>
    <xf numFmtId="0" fontId="24" fillId="0" borderId="0" xfId="0" applyFont="1"/>
    <xf numFmtId="167" fontId="19" fillId="0" borderId="0" xfId="0" applyNumberFormat="1" applyFont="1"/>
    <xf numFmtId="0" fontId="0" fillId="0" borderId="0" xfId="0" applyAlignment="1">
      <alignment vertical="top"/>
    </xf>
    <xf numFmtId="168" fontId="0" fillId="0" borderId="0" xfId="0" applyNumberFormat="1"/>
    <xf numFmtId="0" fontId="25" fillId="0" borderId="0" xfId="0" applyFont="1"/>
    <xf numFmtId="0" fontId="8" fillId="0" borderId="0" xfId="0" applyFont="1" applyFill="1"/>
    <xf numFmtId="172" fontId="8" fillId="0" borderId="0" xfId="0" applyNumberFormat="1" applyFont="1" applyFill="1"/>
    <xf numFmtId="172" fontId="19" fillId="0" borderId="0" xfId="0" applyNumberFormat="1" applyFont="1"/>
    <xf numFmtId="170" fontId="0" fillId="0" borderId="0" xfId="0" applyNumberFormat="1"/>
    <xf numFmtId="0" fontId="19" fillId="0" borderId="0" xfId="0" applyFont="1" applyAlignment="1">
      <alignment horizontal="right"/>
    </xf>
    <xf numFmtId="0" fontId="22" fillId="0" borderId="0" xfId="0" applyFont="1" applyBorder="1" applyAlignment="1">
      <alignment vertical="top"/>
    </xf>
    <xf numFmtId="165" fontId="6" fillId="0" borderId="0" xfId="0" applyNumberFormat="1" applyFont="1" applyAlignment="1">
      <alignment horizontal="center"/>
    </xf>
    <xf numFmtId="1" fontId="6" fillId="0" borderId="0" xfId="0" applyNumberFormat="1" applyFont="1" applyAlignment="1">
      <alignment horizontal="center"/>
    </xf>
    <xf numFmtId="166" fontId="6" fillId="0" borderId="0" xfId="0" applyNumberFormat="1" applyFont="1" applyAlignment="1">
      <alignment horizontal="center"/>
    </xf>
    <xf numFmtId="167" fontId="6" fillId="0" borderId="0" xfId="0" applyNumberFormat="1" applyFont="1" applyAlignment="1">
      <alignment horizontal="center"/>
    </xf>
    <xf numFmtId="165" fontId="6" fillId="0" borderId="0" xfId="0" applyNumberFormat="1" applyFont="1" applyAlignment="1"/>
    <xf numFmtId="168" fontId="6" fillId="0" borderId="0" xfId="0" applyNumberFormat="1" applyFont="1" applyAlignment="1">
      <alignment horizontal="center"/>
    </xf>
    <xf numFmtId="167" fontId="6" fillId="0" borderId="0" xfId="0" applyNumberFormat="1" applyFont="1" applyAlignment="1"/>
    <xf numFmtId="170" fontId="6" fillId="0" borderId="0" xfId="0" applyNumberFormat="1" applyFont="1" applyAlignment="1">
      <alignment horizontal="center"/>
    </xf>
    <xf numFmtId="173" fontId="6" fillId="0" borderId="0" xfId="0" applyNumberFormat="1" applyFont="1" applyAlignment="1">
      <alignment horizontal="center"/>
    </xf>
    <xf numFmtId="0" fontId="4" fillId="0" borderId="0" xfId="0" applyFont="1" applyAlignment="1">
      <alignment horizontal="center"/>
    </xf>
    <xf numFmtId="176" fontId="6" fillId="0" borderId="0" xfId="0" applyNumberFormat="1" applyFont="1"/>
    <xf numFmtId="0" fontId="27" fillId="0" borderId="0" xfId="0" applyFont="1" applyAlignment="1">
      <alignment vertical="top"/>
    </xf>
    <xf numFmtId="0" fontId="25" fillId="0" borderId="3" xfId="0" applyFont="1" applyBorder="1" applyAlignment="1">
      <alignment vertical="top"/>
    </xf>
    <xf numFmtId="0" fontId="25" fillId="0" borderId="0" xfId="0" applyFont="1" applyBorder="1" applyAlignment="1">
      <alignment vertical="top"/>
    </xf>
    <xf numFmtId="167" fontId="6" fillId="0" borderId="3" xfId="0" applyNumberFormat="1" applyFont="1" applyBorder="1" applyAlignment="1">
      <alignment horizontal="right" vertical="top"/>
    </xf>
    <xf numFmtId="0" fontId="21" fillId="0" borderId="3" xfId="0" applyFont="1" applyBorder="1" applyAlignment="1">
      <alignment horizontal="right" vertical="top"/>
    </xf>
    <xf numFmtId="168" fontId="6" fillId="0" borderId="3" xfId="0" applyNumberFormat="1" applyFont="1" applyBorder="1" applyAlignment="1">
      <alignment horizontal="right" vertical="top"/>
    </xf>
    <xf numFmtId="167" fontId="6" fillId="0" borderId="3" xfId="0" applyNumberFormat="1" applyFont="1" applyBorder="1" applyAlignment="1">
      <alignment horizontal="center" vertical="top"/>
    </xf>
    <xf numFmtId="172" fontId="6" fillId="0" borderId="0" xfId="0" applyNumberFormat="1" applyFont="1" applyFill="1"/>
    <xf numFmtId="0" fontId="0" fillId="0" borderId="0" xfId="0" applyAlignment="1"/>
    <xf numFmtId="168" fontId="5" fillId="0" borderId="3" xfId="0" applyNumberFormat="1" applyFont="1" applyBorder="1" applyAlignment="1">
      <alignment vertical="top"/>
    </xf>
    <xf numFmtId="168" fontId="21" fillId="0" borderId="3" xfId="0" applyNumberFormat="1" applyFont="1" applyBorder="1" applyAlignment="1">
      <alignment horizontal="right" vertical="top"/>
    </xf>
    <xf numFmtId="168" fontId="0" fillId="0" borderId="3" xfId="0" applyNumberFormat="1" applyBorder="1" applyAlignment="1">
      <alignment vertical="top"/>
    </xf>
    <xf numFmtId="168" fontId="6" fillId="0" borderId="0" xfId="0" applyNumberFormat="1" applyFont="1" applyBorder="1" applyAlignment="1">
      <alignment horizontal="right" vertical="top"/>
    </xf>
    <xf numFmtId="0" fontId="5" fillId="0" borderId="3" xfId="0" applyNumberFormat="1" applyFont="1" applyBorder="1" applyAlignment="1">
      <alignment vertical="top"/>
    </xf>
    <xf numFmtId="0" fontId="4" fillId="0" borderId="3" xfId="0" applyFont="1" applyBorder="1" applyAlignment="1">
      <alignment vertical="top"/>
    </xf>
    <xf numFmtId="0" fontId="6" fillId="0" borderId="3" xfId="0" applyFont="1" applyBorder="1" applyAlignment="1">
      <alignment horizontal="center" vertical="top"/>
    </xf>
    <xf numFmtId="0" fontId="27" fillId="0" borderId="3" xfId="0" applyFont="1" applyBorder="1" applyAlignment="1">
      <alignment vertical="top"/>
    </xf>
    <xf numFmtId="0" fontId="27" fillId="0" borderId="3" xfId="0" applyFont="1" applyBorder="1" applyAlignment="1">
      <alignment horizontal="left" vertical="top"/>
    </xf>
    <xf numFmtId="167" fontId="5" fillId="0" borderId="3" xfId="0" applyNumberFormat="1" applyFont="1" applyBorder="1" applyAlignment="1">
      <alignment horizontal="right" vertical="top"/>
    </xf>
    <xf numFmtId="0" fontId="5" fillId="0" borderId="3" xfId="0" applyNumberFormat="1" applyFont="1" applyBorder="1" applyAlignment="1">
      <alignment horizontal="right" vertical="top"/>
    </xf>
    <xf numFmtId="1" fontId="5" fillId="0" borderId="3" xfId="0" applyNumberFormat="1" applyFont="1" applyBorder="1" applyAlignment="1">
      <alignment horizontal="right" vertical="top"/>
    </xf>
    <xf numFmtId="168" fontId="5" fillId="0" borderId="3" xfId="0" applyNumberFormat="1" applyFont="1" applyBorder="1" applyAlignment="1">
      <alignment horizontal="right" vertical="top"/>
    </xf>
    <xf numFmtId="168" fontId="6" fillId="0" borderId="0" xfId="0" applyNumberFormat="1" applyFont="1" applyBorder="1" applyAlignment="1">
      <alignment vertical="top"/>
    </xf>
    <xf numFmtId="168" fontId="6" fillId="0" borderId="3" xfId="0" applyNumberFormat="1" applyFont="1" applyBorder="1" applyAlignment="1">
      <alignment vertical="top"/>
    </xf>
    <xf numFmtId="167" fontId="5" fillId="0" borderId="3" xfId="0" applyNumberFormat="1" applyFont="1" applyBorder="1" applyAlignment="1">
      <alignment vertical="top"/>
    </xf>
    <xf numFmtId="0" fontId="3" fillId="0" borderId="0" xfId="3"/>
    <xf numFmtId="0" fontId="31" fillId="0" borderId="0" xfId="3" applyFont="1"/>
    <xf numFmtId="0" fontId="32" fillId="0" borderId="0" xfId="3" applyFont="1"/>
    <xf numFmtId="0" fontId="33" fillId="0" borderId="0" xfId="3" applyFont="1"/>
    <xf numFmtId="0" fontId="30" fillId="0" borderId="0" xfId="3" applyFont="1"/>
    <xf numFmtId="0" fontId="22" fillId="0" borderId="0" xfId="3" applyFont="1"/>
    <xf numFmtId="0" fontId="6" fillId="0" borderId="0" xfId="3" applyFont="1"/>
    <xf numFmtId="0" fontId="31" fillId="0" borderId="0" xfId="3" quotePrefix="1" applyFont="1"/>
    <xf numFmtId="0" fontId="31" fillId="0" borderId="0" xfId="3" applyFont="1" applyAlignment="1">
      <alignment horizontal="right"/>
    </xf>
    <xf numFmtId="0" fontId="30" fillId="5" borderId="0" xfId="3" applyFont="1" applyFill="1"/>
    <xf numFmtId="0" fontId="33" fillId="5" borderId="0" xfId="3" applyFont="1" applyFill="1" applyAlignment="1">
      <alignment horizontal="right" vertical="center"/>
    </xf>
    <xf numFmtId="16" fontId="3" fillId="0" borderId="0" xfId="3" applyNumberFormat="1"/>
    <xf numFmtId="14" fontId="3" fillId="0" borderId="0" xfId="3" applyNumberFormat="1"/>
    <xf numFmtId="14" fontId="31" fillId="0" borderId="0" xfId="3" quotePrefix="1" applyNumberFormat="1" applyFont="1"/>
    <xf numFmtId="16" fontId="31" fillId="0" borderId="0" xfId="3" quotePrefix="1" applyNumberFormat="1" applyFont="1"/>
    <xf numFmtId="0" fontId="21" fillId="0" borderId="0" xfId="0" applyFont="1"/>
    <xf numFmtId="0" fontId="34" fillId="0" borderId="0" xfId="0" applyFont="1" applyBorder="1" applyAlignment="1">
      <alignment horizontal="center" vertical="center"/>
    </xf>
    <xf numFmtId="0" fontId="35" fillId="0" borderId="0" xfId="0" applyFont="1" applyBorder="1" applyAlignment="1">
      <alignment horizontal="center" vertical="center"/>
    </xf>
    <xf numFmtId="0" fontId="29" fillId="11" borderId="1" xfId="0" applyFont="1" applyFill="1" applyBorder="1" applyAlignment="1">
      <alignment horizontal="center" vertical="center"/>
    </xf>
    <xf numFmtId="0" fontId="37" fillId="0" borderId="6" xfId="0" applyFont="1" applyBorder="1"/>
    <xf numFmtId="0" fontId="34" fillId="0" borderId="10" xfId="0" applyFont="1" applyBorder="1" applyAlignment="1">
      <alignment horizontal="center" vertical="center"/>
    </xf>
    <xf numFmtId="0" fontId="35" fillId="0" borderId="10" xfId="0" applyFont="1" applyBorder="1" applyAlignment="1">
      <alignment horizontal="center" vertical="center"/>
    </xf>
    <xf numFmtId="0" fontId="19" fillId="0" borderId="10" xfId="0" applyFont="1" applyBorder="1" applyAlignment="1">
      <alignment horizontal="center" vertical="center"/>
    </xf>
    <xf numFmtId="0" fontId="12" fillId="0" borderId="11" xfId="0" applyFont="1" applyBorder="1" applyAlignment="1">
      <alignment horizontal="center" vertical="center"/>
    </xf>
    <xf numFmtId="0" fontId="35" fillId="0" borderId="11" xfId="0" applyFont="1" applyBorder="1" applyAlignment="1">
      <alignment horizontal="center" vertical="center"/>
    </xf>
    <xf numFmtId="0" fontId="19" fillId="0" borderId="13" xfId="0" applyFont="1" applyBorder="1" applyAlignment="1">
      <alignment horizontal="center" vertical="center"/>
    </xf>
    <xf numFmtId="0" fontId="34" fillId="0" borderId="11" xfId="0" applyFont="1" applyBorder="1" applyAlignment="1">
      <alignment horizontal="center" vertical="center"/>
    </xf>
    <xf numFmtId="0" fontId="34" fillId="0" borderId="8" xfId="0" applyFont="1" applyBorder="1" applyAlignment="1">
      <alignment horizontal="center" vertical="center"/>
    </xf>
    <xf numFmtId="0" fontId="36" fillId="0" borderId="9" xfId="0" applyFont="1" applyBorder="1" applyAlignment="1">
      <alignment horizontal="center" vertical="center"/>
    </xf>
    <xf numFmtId="0" fontId="12" fillId="0" borderId="15" xfId="0" applyFont="1" applyBorder="1" applyAlignment="1">
      <alignment horizontal="center" vertical="center"/>
    </xf>
    <xf numFmtId="0" fontId="19" fillId="0" borderId="16" xfId="0" applyFont="1" applyBorder="1" applyAlignment="1">
      <alignment horizontal="center" vertical="center"/>
    </xf>
    <xf numFmtId="0" fontId="12" fillId="0" borderId="17" xfId="0" applyFont="1" applyBorder="1" applyAlignment="1">
      <alignment horizontal="center" vertical="center"/>
    </xf>
    <xf numFmtId="0" fontId="36" fillId="0" borderId="15" xfId="0" applyFont="1" applyBorder="1" applyAlignment="1">
      <alignment horizontal="center" vertical="center"/>
    </xf>
    <xf numFmtId="0" fontId="34" fillId="0" borderId="16" xfId="0" applyFont="1" applyBorder="1" applyAlignment="1">
      <alignment horizontal="center" vertical="center"/>
    </xf>
    <xf numFmtId="0" fontId="35" fillId="0" borderId="16" xfId="0" applyFont="1" applyBorder="1" applyAlignment="1">
      <alignment horizontal="center" vertical="center" wrapText="1"/>
    </xf>
    <xf numFmtId="0" fontId="35" fillId="0" borderId="16" xfId="0" applyFont="1" applyBorder="1" applyAlignment="1">
      <alignment horizontal="center" vertical="center"/>
    </xf>
    <xf numFmtId="0" fontId="19" fillId="0" borderId="17" xfId="0" applyFont="1" applyBorder="1" applyAlignment="1">
      <alignment horizontal="center" vertical="center"/>
    </xf>
    <xf numFmtId="0" fontId="12" fillId="0" borderId="16" xfId="0" applyFont="1" applyBorder="1" applyAlignment="1">
      <alignment horizontal="center" vertical="center"/>
    </xf>
    <xf numFmtId="0" fontId="19" fillId="0" borderId="16" xfId="0" applyFont="1" applyBorder="1" applyAlignment="1">
      <alignment horizontal="center" vertical="center" wrapText="1"/>
    </xf>
    <xf numFmtId="0" fontId="36" fillId="0" borderId="16" xfId="0" applyFont="1" applyBorder="1" applyAlignment="1">
      <alignment horizontal="center" vertical="center"/>
    </xf>
    <xf numFmtId="0" fontId="36" fillId="0" borderId="16" xfId="0" applyFont="1" applyBorder="1" applyAlignment="1">
      <alignment horizontal="center" vertical="center" wrapText="1"/>
    </xf>
    <xf numFmtId="0" fontId="36" fillId="0" borderId="10" xfId="0" applyFont="1" applyBorder="1" applyAlignment="1">
      <alignment horizontal="center" vertical="center"/>
    </xf>
    <xf numFmtId="0" fontId="36" fillId="0" borderId="0" xfId="0" applyFont="1" applyBorder="1" applyAlignment="1">
      <alignment horizontal="center" vertical="center"/>
    </xf>
    <xf numFmtId="0" fontId="12" fillId="0" borderId="18" xfId="0" applyFont="1" applyBorder="1" applyAlignment="1">
      <alignment horizontal="center" vertical="center"/>
    </xf>
    <xf numFmtId="0" fontId="36" fillId="0" borderId="20" xfId="0" applyFont="1" applyBorder="1" applyAlignment="1">
      <alignment horizontal="center" vertical="center"/>
    </xf>
    <xf numFmtId="0" fontId="35" fillId="0" borderId="19" xfId="0" applyFont="1" applyBorder="1" applyAlignment="1">
      <alignment horizontal="center" vertical="center"/>
    </xf>
    <xf numFmtId="0" fontId="34"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24" xfId="0" applyFont="1" applyBorder="1" applyAlignment="1">
      <alignment horizontal="center" vertical="center"/>
    </xf>
    <xf numFmtId="0" fontId="19" fillId="0" borderId="23" xfId="0" applyFont="1" applyBorder="1" applyAlignment="1">
      <alignment horizontal="center" vertical="center"/>
    </xf>
    <xf numFmtId="0" fontId="19" fillId="0" borderId="25" xfId="0" applyFont="1" applyBorder="1" applyAlignment="1">
      <alignment horizontal="center" vertical="center"/>
    </xf>
    <xf numFmtId="0" fontId="12" fillId="0" borderId="23" xfId="0" applyFont="1" applyBorder="1" applyAlignment="1">
      <alignment horizontal="center" vertical="center"/>
    </xf>
    <xf numFmtId="0" fontId="29" fillId="8" borderId="14" xfId="0" applyFont="1" applyFill="1" applyBorder="1" applyAlignment="1">
      <alignment horizontal="center" vertical="center"/>
    </xf>
    <xf numFmtId="0" fontId="29" fillId="6" borderId="13" xfId="0" applyFont="1" applyFill="1" applyBorder="1" applyAlignment="1">
      <alignment horizontal="center" vertical="center"/>
    </xf>
    <xf numFmtId="0" fontId="29" fillId="7" borderId="13" xfId="0" applyFont="1" applyFill="1" applyBorder="1" applyAlignment="1">
      <alignment horizontal="center" vertical="center"/>
    </xf>
    <xf numFmtId="0" fontId="29" fillId="9" borderId="13" xfId="0" applyFont="1" applyFill="1" applyBorder="1" applyAlignment="1">
      <alignment horizontal="center" vertical="center"/>
    </xf>
    <xf numFmtId="0" fontId="39" fillId="0" borderId="0" xfId="0" quotePrefix="1" applyFont="1"/>
    <xf numFmtId="0" fontId="39" fillId="0" borderId="0" xfId="0" applyFont="1"/>
    <xf numFmtId="0" fontId="39" fillId="0" borderId="0" xfId="0" quotePrefix="1" applyFont="1" applyFill="1" applyBorder="1"/>
    <xf numFmtId="0" fontId="40" fillId="0" borderId="0" xfId="0" applyFont="1"/>
    <xf numFmtId="0" fontId="8" fillId="0" borderId="0" xfId="0" quotePrefix="1" applyFont="1"/>
    <xf numFmtId="0" fontId="26" fillId="0" borderId="0" xfId="0" applyFont="1"/>
    <xf numFmtId="166" fontId="26" fillId="0" borderId="0" xfId="0" applyNumberFormat="1" applyFont="1"/>
    <xf numFmtId="0" fontId="6" fillId="0" borderId="0" xfId="0" applyNumberFormat="1" applyFont="1"/>
    <xf numFmtId="9" fontId="0" fillId="0" borderId="0" xfId="0" applyNumberFormat="1"/>
    <xf numFmtId="9" fontId="6" fillId="0" borderId="0" xfId="0" applyNumberFormat="1" applyFont="1"/>
    <xf numFmtId="0" fontId="41" fillId="0" borderId="26" xfId="0" applyFont="1" applyBorder="1" applyAlignment="1">
      <alignment horizontal="center" vertical="center"/>
    </xf>
    <xf numFmtId="0" fontId="42" fillId="0" borderId="11" xfId="0" applyFont="1" applyBorder="1" applyAlignment="1">
      <alignment horizontal="center" vertical="center"/>
    </xf>
    <xf numFmtId="0" fontId="42" fillId="0" borderId="0" xfId="0" applyFont="1" applyBorder="1" applyAlignment="1">
      <alignment horizontal="center" vertical="center"/>
    </xf>
    <xf numFmtId="0" fontId="42" fillId="0" borderId="16" xfId="0" applyFont="1" applyBorder="1" applyAlignment="1">
      <alignment horizontal="center" vertical="center"/>
    </xf>
    <xf numFmtId="0" fontId="42" fillId="0" borderId="10" xfId="0" applyFont="1" applyBorder="1" applyAlignment="1">
      <alignment horizontal="center" vertical="center"/>
    </xf>
    <xf numFmtId="0" fontId="42" fillId="0" borderId="22" xfId="0" applyFont="1" applyBorder="1" applyAlignment="1">
      <alignment horizontal="center" vertical="center"/>
    </xf>
    <xf numFmtId="0" fontId="42" fillId="0" borderId="12" xfId="0" applyFont="1" applyBorder="1" applyAlignment="1">
      <alignment horizontal="center" vertical="center"/>
    </xf>
    <xf numFmtId="0" fontId="0" fillId="3" borderId="0" xfId="0" applyFill="1"/>
    <xf numFmtId="0" fontId="0" fillId="12" borderId="0" xfId="0" applyFill="1"/>
    <xf numFmtId="0" fontId="0" fillId="4" borderId="29" xfId="0" applyFill="1" applyBorder="1"/>
    <xf numFmtId="0" fontId="0" fillId="4" borderId="30" xfId="0" applyFill="1" applyBorder="1"/>
    <xf numFmtId="0" fontId="0" fillId="4" borderId="31" xfId="0" applyFill="1" applyBorder="1"/>
    <xf numFmtId="0" fontId="0" fillId="4" borderId="32" xfId="0" applyFill="1" applyBorder="1"/>
    <xf numFmtId="175" fontId="0" fillId="0" borderId="0" xfId="0" applyNumberFormat="1"/>
    <xf numFmtId="16" fontId="0" fillId="0" borderId="0" xfId="0" applyNumberFormat="1"/>
    <xf numFmtId="177" fontId="0" fillId="0" borderId="0" xfId="0" applyNumberFormat="1"/>
    <xf numFmtId="1" fontId="0" fillId="0" borderId="0" xfId="0" applyNumberFormat="1"/>
    <xf numFmtId="178" fontId="0" fillId="0" borderId="0" xfId="0" applyNumberFormat="1"/>
    <xf numFmtId="179" fontId="0" fillId="0" borderId="0" xfId="0" applyNumberFormat="1"/>
    <xf numFmtId="0" fontId="28" fillId="0" borderId="0" xfId="3" applyFont="1"/>
    <xf numFmtId="0" fontId="43" fillId="0" borderId="0" xfId="3" applyFont="1"/>
    <xf numFmtId="0" fontId="28" fillId="4" borderId="0" xfId="3" applyFont="1" applyFill="1"/>
    <xf numFmtId="0" fontId="43" fillId="4" borderId="0" xfId="3" applyFont="1" applyFill="1"/>
    <xf numFmtId="0" fontId="28" fillId="13" borderId="0" xfId="3" applyFont="1" applyFill="1"/>
    <xf numFmtId="0" fontId="43" fillId="13" borderId="0" xfId="3" applyFont="1" applyFill="1"/>
    <xf numFmtId="16" fontId="28" fillId="4" borderId="0" xfId="3" applyNumberFormat="1" applyFont="1" applyFill="1"/>
    <xf numFmtId="0" fontId="2" fillId="0" borderId="0" xfId="3" applyFont="1"/>
    <xf numFmtId="164" fontId="0" fillId="0" borderId="0" xfId="0" applyNumberFormat="1" applyAlignment="1">
      <alignment horizontal="left"/>
    </xf>
    <xf numFmtId="164" fontId="0" fillId="0" borderId="0" xfId="0" applyNumberFormat="1" applyAlignment="1">
      <alignment horizontal="center"/>
    </xf>
    <xf numFmtId="0" fontId="44" fillId="6" borderId="0" xfId="0" applyFont="1" applyFill="1"/>
    <xf numFmtId="0" fontId="6" fillId="2" borderId="0" xfId="0" applyFont="1" applyFill="1"/>
    <xf numFmtId="0" fontId="0" fillId="2" borderId="0" xfId="0" applyFill="1"/>
    <xf numFmtId="0" fontId="1" fillId="0" borderId="0" xfId="3" applyFont="1" applyAlignment="1"/>
    <xf numFmtId="0" fontId="1" fillId="0" borderId="0" xfId="3" applyFont="1"/>
    <xf numFmtId="0" fontId="45" fillId="0" borderId="0" xfId="3" applyFont="1"/>
    <xf numFmtId="0" fontId="44" fillId="0" borderId="0" xfId="3" applyFont="1"/>
    <xf numFmtId="0" fontId="0" fillId="0" borderId="0" xfId="0" applyBorder="1"/>
    <xf numFmtId="0" fontId="6" fillId="0" borderId="0" xfId="0" applyFont="1" applyFill="1" applyBorder="1" applyAlignment="1">
      <alignment vertical="top"/>
    </xf>
    <xf numFmtId="0" fontId="19" fillId="0" borderId="0" xfId="0" applyFont="1" applyFill="1" applyBorder="1" applyAlignment="1">
      <alignment vertical="top"/>
    </xf>
    <xf numFmtId="0" fontId="0" fillId="0" borderId="0" xfId="0" applyFill="1" applyBorder="1" applyAlignment="1">
      <alignment vertical="top"/>
    </xf>
    <xf numFmtId="0" fontId="4" fillId="0" borderId="0" xfId="0" applyFont="1" applyFill="1" applyBorder="1" applyAlignment="1">
      <alignment vertical="top"/>
    </xf>
    <xf numFmtId="0" fontId="0" fillId="0" borderId="0" xfId="0" applyFill="1" applyBorder="1"/>
    <xf numFmtId="0" fontId="4" fillId="0" borderId="0" xfId="0" applyFont="1" applyFill="1" applyBorder="1" applyAlignment="1">
      <alignment horizontal="center" vertical="top"/>
    </xf>
    <xf numFmtId="0" fontId="8" fillId="0" borderId="0" xfId="0" applyFont="1" applyFill="1" applyBorder="1" applyAlignment="1">
      <alignment vertical="top"/>
    </xf>
    <xf numFmtId="164" fontId="0" fillId="0" borderId="0" xfId="0" applyNumberFormat="1" applyFill="1" applyBorder="1" applyAlignment="1">
      <alignment horizontal="center" vertical="top"/>
    </xf>
    <xf numFmtId="0" fontId="6" fillId="0" borderId="0" xfId="0" applyFont="1" applyFill="1" applyBorder="1" applyAlignment="1" applyProtection="1">
      <alignment vertical="top"/>
      <protection locked="0"/>
    </xf>
    <xf numFmtId="0" fontId="4" fillId="0" borderId="0" xfId="0" applyFont="1" applyFill="1" applyBorder="1" applyAlignment="1" applyProtection="1">
      <protection locked="0"/>
    </xf>
    <xf numFmtId="0" fontId="11" fillId="0" borderId="0" xfId="0" applyFont="1" applyFill="1" applyBorder="1" applyAlignment="1"/>
    <xf numFmtId="0" fontId="4" fillId="0" borderId="0" xfId="0" applyFont="1" applyFill="1" applyBorder="1" applyAlignment="1"/>
    <xf numFmtId="0" fontId="6" fillId="0" borderId="0" xfId="0" applyFont="1" applyFill="1" applyBorder="1" applyAlignment="1"/>
    <xf numFmtId="0" fontId="0" fillId="0" borderId="0" xfId="0" applyFill="1" applyBorder="1" applyAlignment="1">
      <alignment vertical="top"/>
    </xf>
    <xf numFmtId="0" fontId="6" fillId="0" borderId="0" xfId="0" applyFont="1" applyBorder="1" applyAlignment="1">
      <alignment vertical="top"/>
    </xf>
    <xf numFmtId="166" fontId="6" fillId="0" borderId="0" xfId="0" applyNumberFormat="1" applyFont="1" applyAlignment="1"/>
    <xf numFmtId="169" fontId="6" fillId="0" borderId="0" xfId="0" applyNumberFormat="1" applyFont="1"/>
    <xf numFmtId="168" fontId="50" fillId="0" borderId="3" xfId="0" applyNumberFormat="1" applyFont="1" applyBorder="1" applyAlignment="1">
      <alignment vertical="top"/>
    </xf>
    <xf numFmtId="0" fontId="50" fillId="0" borderId="3" xfId="0" applyFont="1" applyBorder="1" applyAlignment="1">
      <alignment vertical="top"/>
    </xf>
    <xf numFmtId="168" fontId="50" fillId="0" borderId="3" xfId="0" applyNumberFormat="1" applyFont="1" applyBorder="1" applyAlignment="1">
      <alignment horizontal="right" vertical="top"/>
    </xf>
    <xf numFmtId="0" fontId="50" fillId="0" borderId="0" xfId="0" applyFont="1" applyAlignment="1">
      <alignment vertical="top"/>
    </xf>
    <xf numFmtId="164" fontId="0" fillId="5" borderId="0" xfId="0" applyNumberFormat="1" applyFill="1" applyBorder="1" applyAlignment="1" applyProtection="1">
      <alignment horizontal="center"/>
      <protection locked="0"/>
    </xf>
    <xf numFmtId="164" fontId="0" fillId="2" borderId="1" xfId="0" applyNumberFormat="1" applyFill="1" applyBorder="1" applyAlignment="1" applyProtection="1">
      <alignment horizontal="center" vertical="center"/>
      <protection locked="0"/>
    </xf>
    <xf numFmtId="0" fontId="4" fillId="0" borderId="0" xfId="0" applyFont="1" applyFill="1" applyBorder="1" applyAlignment="1">
      <alignment horizontal="right"/>
    </xf>
    <xf numFmtId="0" fontId="4" fillId="0" borderId="0" xfId="0" applyFont="1" applyFill="1" applyBorder="1" applyAlignment="1">
      <alignment horizontal="left"/>
    </xf>
    <xf numFmtId="171" fontId="6" fillId="2" borderId="1" xfId="0" applyNumberFormat="1" applyFont="1" applyFill="1" applyBorder="1" applyProtection="1">
      <protection locked="0"/>
    </xf>
    <xf numFmtId="164" fontId="0" fillId="2" borderId="1" xfId="0" applyNumberFormat="1" applyFill="1" applyBorder="1" applyAlignment="1" applyProtection="1">
      <alignment vertical="top"/>
      <protection locked="0"/>
    </xf>
    <xf numFmtId="0" fontId="4" fillId="0" borderId="0" xfId="0" applyFont="1" applyFill="1" applyBorder="1" applyAlignment="1">
      <alignment horizontal="left" vertical="top"/>
    </xf>
    <xf numFmtId="168" fontId="15" fillId="0" borderId="3" xfId="0" applyNumberFormat="1" applyFont="1" applyBorder="1" applyAlignment="1">
      <alignment horizontal="right" vertical="top"/>
    </xf>
    <xf numFmtId="168" fontId="51" fillId="0" borderId="3" xfId="0" applyNumberFormat="1" applyFont="1" applyBorder="1" applyAlignment="1">
      <alignment vertical="top"/>
    </xf>
    <xf numFmtId="174" fontId="6" fillId="0" borderId="0" xfId="0" applyNumberFormat="1" applyFont="1"/>
    <xf numFmtId="0" fontId="6" fillId="0" borderId="0" xfId="0" applyFont="1" applyFill="1" applyBorder="1" applyAlignment="1">
      <alignment horizontal="left"/>
    </xf>
    <xf numFmtId="0" fontId="6" fillId="0" borderId="0" xfId="0" applyFont="1" applyFill="1" applyBorder="1" applyAlignment="1">
      <alignment horizontal="left" vertical="top"/>
    </xf>
    <xf numFmtId="0" fontId="52" fillId="0" borderId="0" xfId="0" applyFont="1" applyFill="1" applyBorder="1" applyAlignment="1">
      <alignment horizontal="right" vertical="top"/>
    </xf>
    <xf numFmtId="170" fontId="6" fillId="0" borderId="0" xfId="0" applyNumberFormat="1" applyFont="1" applyAlignment="1"/>
    <xf numFmtId="0" fontId="4" fillId="0" borderId="0" xfId="0" applyFont="1" applyBorder="1" applyAlignment="1">
      <alignment vertical="top"/>
    </xf>
    <xf numFmtId="171" fontId="6" fillId="0" borderId="0" xfId="0" applyNumberFormat="1" applyFont="1"/>
    <xf numFmtId="181" fontId="6" fillId="0" borderId="0" xfId="0" applyNumberFormat="1" applyFont="1"/>
    <xf numFmtId="171" fontId="25" fillId="0" borderId="3" xfId="0" applyNumberFormat="1" applyFont="1" applyBorder="1" applyAlignment="1">
      <alignment horizontal="right" vertical="top"/>
    </xf>
    <xf numFmtId="0" fontId="28" fillId="0" borderId="3" xfId="0" applyFont="1" applyBorder="1" applyAlignment="1">
      <alignment vertical="top"/>
    </xf>
    <xf numFmtId="0" fontId="27" fillId="0" borderId="3" xfId="0" applyFont="1" applyBorder="1" applyAlignment="1">
      <alignment horizontal="right" vertical="top"/>
    </xf>
    <xf numFmtId="182" fontId="25" fillId="0" borderId="3" xfId="0" applyNumberFormat="1" applyFont="1" applyBorder="1" applyAlignment="1">
      <alignment horizontal="right" vertical="top"/>
    </xf>
    <xf numFmtId="182" fontId="27" fillId="0" borderId="3" xfId="0" applyNumberFormat="1" applyFont="1" applyBorder="1" applyAlignment="1">
      <alignment vertical="top"/>
    </xf>
    <xf numFmtId="0" fontId="55" fillId="0" borderId="0" xfId="0" quotePrefix="1" applyFont="1" applyAlignment="1">
      <alignment horizontal="right" vertical="top"/>
    </xf>
    <xf numFmtId="183" fontId="25" fillId="0" borderId="3" xfId="0" applyNumberFormat="1" applyFont="1" applyBorder="1" applyAlignment="1">
      <alignment horizontal="right" vertical="top"/>
    </xf>
    <xf numFmtId="183" fontId="27" fillId="0" borderId="3" xfId="0" applyNumberFormat="1" applyFont="1" applyBorder="1" applyAlignment="1">
      <alignment vertical="top"/>
    </xf>
    <xf numFmtId="183" fontId="25" fillId="0" borderId="3" xfId="0" applyNumberFormat="1" applyFont="1" applyBorder="1" applyAlignment="1">
      <alignment vertical="top"/>
    </xf>
    <xf numFmtId="167" fontId="6" fillId="0" borderId="3" xfId="0" applyNumberFormat="1" applyFont="1" applyBorder="1" applyAlignment="1">
      <alignment horizontal="left" vertical="top"/>
    </xf>
    <xf numFmtId="166" fontId="6" fillId="0" borderId="0" xfId="0" quotePrefix="1" applyNumberFormat="1" applyFont="1"/>
    <xf numFmtId="172" fontId="8" fillId="0" borderId="0" xfId="0" applyNumberFormat="1" applyFont="1"/>
    <xf numFmtId="0" fontId="4" fillId="0" borderId="0" xfId="0" quotePrefix="1" applyFont="1" applyAlignment="1">
      <alignment wrapText="1"/>
    </xf>
    <xf numFmtId="0" fontId="58" fillId="0" borderId="0" xfId="0" applyFont="1"/>
    <xf numFmtId="0" fontId="0" fillId="0" borderId="34" xfId="0" applyBorder="1" applyAlignment="1">
      <alignment vertical="top"/>
    </xf>
    <xf numFmtId="0" fontId="0" fillId="0" borderId="34" xfId="0" applyFill="1" applyBorder="1" applyAlignment="1">
      <alignment vertical="top"/>
    </xf>
    <xf numFmtId="0" fontId="4" fillId="0" borderId="34" xfId="0" applyFont="1" applyFill="1" applyBorder="1" applyAlignment="1">
      <alignment vertical="top"/>
    </xf>
    <xf numFmtId="0" fontId="0" fillId="0" borderId="33" xfId="0" applyBorder="1" applyAlignment="1">
      <alignment vertical="top"/>
    </xf>
    <xf numFmtId="0" fontId="0" fillId="0" borderId="35" xfId="0" applyBorder="1" applyAlignment="1">
      <alignment vertical="top"/>
    </xf>
    <xf numFmtId="0" fontId="22" fillId="0" borderId="35" xfId="0" applyFont="1" applyBorder="1" applyAlignment="1">
      <alignment vertical="top"/>
    </xf>
    <xf numFmtId="0" fontId="6" fillId="0" borderId="37" xfId="0" applyFont="1" applyFill="1" applyBorder="1" applyAlignment="1">
      <alignment vertical="top"/>
    </xf>
    <xf numFmtId="182" fontId="55" fillId="0" borderId="37" xfId="0" applyNumberFormat="1" applyFont="1" applyBorder="1" applyAlignment="1">
      <alignment horizontal="left" vertical="top"/>
    </xf>
    <xf numFmtId="183" fontId="55" fillId="0" borderId="37" xfId="0" applyNumberFormat="1" applyFont="1" applyBorder="1" applyAlignment="1">
      <alignment horizontal="left" vertical="top"/>
    </xf>
    <xf numFmtId="0" fontId="0" fillId="0" borderId="37" xfId="0" applyFill="1" applyBorder="1" applyAlignment="1">
      <alignment vertical="top"/>
    </xf>
    <xf numFmtId="0" fontId="19" fillId="0" borderId="37" xfId="0" applyFont="1" applyFill="1" applyBorder="1" applyAlignment="1">
      <alignment horizontal="left" vertical="top"/>
    </xf>
    <xf numFmtId="0" fontId="0" fillId="0" borderId="37" xfId="0" applyBorder="1" applyAlignment="1">
      <alignment vertical="top"/>
    </xf>
    <xf numFmtId="0" fontId="6" fillId="0" borderId="37" xfId="0" applyFont="1" applyBorder="1" applyAlignment="1">
      <alignment horizontal="right" vertical="top"/>
    </xf>
    <xf numFmtId="0" fontId="6" fillId="0" borderId="37" xfId="0" applyFont="1" applyBorder="1" applyAlignment="1">
      <alignment vertical="top"/>
    </xf>
    <xf numFmtId="0" fontId="0" fillId="0" borderId="37" xfId="0" applyBorder="1"/>
    <xf numFmtId="0" fontId="0" fillId="0" borderId="36" xfId="0" applyBorder="1"/>
    <xf numFmtId="0" fontId="59" fillId="14" borderId="0" xfId="0" applyFont="1" applyFill="1" applyBorder="1" applyAlignment="1">
      <alignment horizontal="center" vertical="top"/>
    </xf>
    <xf numFmtId="180" fontId="16" fillId="14" borderId="0" xfId="0" applyNumberFormat="1" applyFont="1" applyFill="1" applyBorder="1" applyAlignment="1">
      <alignment horizontal="left" vertical="center"/>
    </xf>
    <xf numFmtId="0" fontId="16" fillId="14" borderId="0" xfId="0" applyFont="1" applyFill="1" applyBorder="1" applyAlignment="1">
      <alignment horizontal="left" vertical="center"/>
    </xf>
    <xf numFmtId="0" fontId="4" fillId="0" borderId="0" xfId="0" applyFont="1" applyBorder="1"/>
    <xf numFmtId="0" fontId="21" fillId="0" borderId="34" xfId="0" applyFont="1" applyBorder="1" applyAlignment="1">
      <alignment vertical="top"/>
    </xf>
    <xf numFmtId="0" fontId="6" fillId="0" borderId="34" xfId="0" applyFont="1" applyBorder="1" applyAlignment="1">
      <alignment vertical="top"/>
    </xf>
    <xf numFmtId="0" fontId="27" fillId="0" borderId="0" xfId="0" applyFont="1" applyBorder="1" applyAlignment="1">
      <alignment vertical="top"/>
    </xf>
    <xf numFmtId="0" fontId="29" fillId="0" borderId="38" xfId="0" applyFont="1" applyBorder="1" applyAlignment="1">
      <alignment vertical="top"/>
    </xf>
    <xf numFmtId="0" fontId="5" fillId="0" borderId="34" xfId="0" applyFont="1" applyBorder="1" applyAlignment="1">
      <alignment vertical="top"/>
    </xf>
    <xf numFmtId="0" fontId="50" fillId="0" borderId="34" xfId="0" applyFont="1" applyBorder="1" applyAlignment="1">
      <alignment vertical="top"/>
    </xf>
    <xf numFmtId="0" fontId="59" fillId="14" borderId="34" xfId="0" applyFont="1" applyFill="1" applyBorder="1" applyAlignment="1">
      <alignment horizontal="center" vertical="top"/>
    </xf>
    <xf numFmtId="0" fontId="59" fillId="14" borderId="37" xfId="0" applyFont="1" applyFill="1" applyBorder="1" applyAlignment="1">
      <alignment horizontal="center" vertical="top"/>
    </xf>
    <xf numFmtId="0" fontId="21" fillId="0" borderId="37" xfId="0" applyFont="1" applyBorder="1" applyAlignment="1">
      <alignment vertical="top"/>
    </xf>
    <xf numFmtId="0" fontId="5" fillId="0" borderId="37" xfId="0" applyFont="1" applyBorder="1" applyAlignment="1">
      <alignment vertical="top"/>
    </xf>
    <xf numFmtId="0" fontId="50" fillId="0" borderId="37" xfId="0" applyFont="1" applyBorder="1" applyAlignment="1">
      <alignment vertical="top"/>
    </xf>
    <xf numFmtId="0" fontId="0" fillId="0" borderId="36" xfId="0" applyBorder="1" applyAlignment="1">
      <alignment vertical="top"/>
    </xf>
    <xf numFmtId="0" fontId="0" fillId="0" borderId="39" xfId="0" applyBorder="1" applyAlignment="1">
      <alignment vertical="top"/>
    </xf>
    <xf numFmtId="168" fontId="8" fillId="0" borderId="0" xfId="0" applyNumberFormat="1" applyFont="1"/>
    <xf numFmtId="0" fontId="38" fillId="0" borderId="19" xfId="0" applyFont="1" applyBorder="1" applyAlignment="1">
      <alignment horizontal="center" vertical="center" wrapText="1"/>
    </xf>
    <xf numFmtId="0" fontId="38" fillId="0" borderId="16"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14" xfId="0" applyFont="1" applyBorder="1" applyAlignment="1">
      <alignment horizontal="center" vertical="center" wrapText="1"/>
    </xf>
    <xf numFmtId="0" fontId="29" fillId="10" borderId="4" xfId="0" applyFont="1" applyFill="1" applyBorder="1" applyAlignment="1">
      <alignment horizontal="center" vertical="center"/>
    </xf>
    <xf numFmtId="0" fontId="29" fillId="10" borderId="5" xfId="0" applyFont="1" applyFill="1" applyBorder="1" applyAlignment="1">
      <alignment horizontal="center" vertical="center"/>
    </xf>
    <xf numFmtId="0" fontId="29" fillId="10" borderId="2" xfId="0" applyFont="1" applyFill="1" applyBorder="1" applyAlignment="1">
      <alignment horizontal="center" vertical="center"/>
    </xf>
    <xf numFmtId="0" fontId="37" fillId="0" borderId="7" xfId="0" applyFont="1" applyBorder="1" applyAlignment="1">
      <alignment horizontal="center" vertical="center" textRotation="90"/>
    </xf>
    <xf numFmtId="0" fontId="37" fillId="0" borderId="11" xfId="0" applyFont="1" applyBorder="1" applyAlignment="1">
      <alignment horizontal="center" vertical="center" textRotation="90"/>
    </xf>
    <xf numFmtId="0" fontId="37" fillId="0" borderId="12" xfId="0" applyFont="1" applyBorder="1" applyAlignment="1">
      <alignment horizontal="center" vertical="center" textRotation="90"/>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37" fillId="0" borderId="9" xfId="0" applyFont="1" applyBorder="1" applyAlignment="1">
      <alignment horizontal="center" vertical="center"/>
    </xf>
    <xf numFmtId="0" fontId="41" fillId="0" borderId="27" xfId="0" applyFont="1" applyBorder="1" applyAlignment="1">
      <alignment horizontal="center" vertical="center"/>
    </xf>
    <xf numFmtId="0" fontId="41" fillId="0" borderId="28" xfId="0" applyFont="1" applyBorder="1" applyAlignment="1">
      <alignment horizontal="center" vertical="center"/>
    </xf>
    <xf numFmtId="0" fontId="29" fillId="6" borderId="10" xfId="0" applyFont="1" applyFill="1" applyBorder="1" applyAlignment="1">
      <alignment horizontal="center" vertical="center"/>
    </xf>
    <xf numFmtId="0" fontId="29" fillId="7" borderId="10" xfId="0" applyFont="1" applyFill="1" applyBorder="1" applyAlignment="1">
      <alignment horizontal="center" vertical="center"/>
    </xf>
    <xf numFmtId="0" fontId="29" fillId="9" borderId="10" xfId="0" applyFont="1" applyFill="1" applyBorder="1" applyAlignment="1">
      <alignment horizontal="center" vertical="center"/>
    </xf>
    <xf numFmtId="0" fontId="29" fillId="8" borderId="10" xfId="0" applyFont="1" applyFill="1" applyBorder="1" applyAlignment="1">
      <alignment horizontal="center" vertical="center"/>
    </xf>
    <xf numFmtId="0" fontId="29" fillId="8" borderId="14" xfId="0" applyFont="1" applyFill="1" applyBorder="1" applyAlignment="1">
      <alignment horizontal="center" vertical="center"/>
    </xf>
    <xf numFmtId="0" fontId="38" fillId="0" borderId="7"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0" xfId="0" applyFont="1" applyBorder="1" applyAlignment="1">
      <alignment horizontal="center" vertical="center" wrapText="1"/>
    </xf>
    <xf numFmtId="0" fontId="16" fillId="6" borderId="0" xfId="0" applyFont="1" applyFill="1" applyBorder="1" applyAlignment="1"/>
    <xf numFmtId="0" fontId="0" fillId="0" borderId="0" xfId="0" applyAlignment="1"/>
    <xf numFmtId="0" fontId="0" fillId="6" borderId="0" xfId="0" applyFill="1" applyAlignment="1"/>
    <xf numFmtId="0" fontId="16" fillId="7" borderId="0" xfId="0" applyFont="1" applyFill="1" applyBorder="1" applyAlignment="1"/>
    <xf numFmtId="0" fontId="0" fillId="7" borderId="0" xfId="0" applyFill="1" applyAlignment="1"/>
  </cellXfs>
  <cellStyles count="4">
    <cellStyle name="Link" xfId="1" builtinId="8"/>
    <cellStyle name="Prozent" xfId="2" builtinId="5"/>
    <cellStyle name="Standard" xfId="0" builtinId="0"/>
    <cellStyle name="Standard 2" xfId="3"/>
  </cellStyles>
  <dxfs count="6">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rgb="FFFF0000"/>
      </font>
    </dxf>
    <dxf>
      <font>
        <color rgb="FFFF0000"/>
      </font>
    </dxf>
  </dxfs>
  <tableStyles count="0" defaultTableStyle="TableStyleMedium2" defaultPivotStyle="PivotStyleLight16"/>
  <colors>
    <mruColors>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B$3"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Radio" checked="Checked" firstButton="1" fmlaLink="$L$8"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checked="Checked" firstButton="1" fmlaLink="$L$6" lockText="1" noThreeD="1"/>
</file>

<file path=xl/ctrlProps/ctrlProp15.xml><?xml version="1.0" encoding="utf-8"?>
<formControlPr xmlns="http://schemas.microsoft.com/office/spreadsheetml/2009/9/main" objectType="Radio" firstButton="1" fmlaLink="$L$9"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checked="Checked"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firstButton="1" fmlaLink="$L$3"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L$4"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checked="Checked" firstButton="1" fmlaLink="$L$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L$5"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wmf"/><Relationship Id="rId2" Type="http://schemas.openxmlformats.org/officeDocument/2006/relationships/image" Target="../media/image3.png"/><Relationship Id="rId1" Type="http://schemas.openxmlformats.org/officeDocument/2006/relationships/image" Target="../media/image2.wmf"/><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4" Type="http://schemas.openxmlformats.org/officeDocument/2006/relationships/image" Target="../media/image9.png"/></Relationships>
</file>

<file path=xl/drawings/_rels/drawing6.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1574292</xdr:colOff>
      <xdr:row>6</xdr:row>
      <xdr:rowOff>52959</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221992" cy="8625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1277777</xdr:colOff>
      <xdr:row>25</xdr:row>
      <xdr:rowOff>152845</xdr:rowOff>
    </xdr:from>
    <xdr:to>
      <xdr:col>11</xdr:col>
      <xdr:colOff>175926</xdr:colOff>
      <xdr:row>29</xdr:row>
      <xdr:rowOff>49811</xdr:rowOff>
    </xdr:to>
    <xdr:pic>
      <xdr:nvPicPr>
        <xdr:cNvPr id="387" name="Grafik 386" descr="C:\Dokumente und Einstellungen\stmi\Lokale Einstellungen\Temporary Internet Files\Content.IE5\NNJSJTT1\MC900397708[1].wm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461862">
          <a:off x="6946794" y="4350414"/>
          <a:ext cx="1033063" cy="5538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1243891</xdr:colOff>
      <xdr:row>26</xdr:row>
      <xdr:rowOff>19707</xdr:rowOff>
    </xdr:from>
    <xdr:to>
      <xdr:col>11</xdr:col>
      <xdr:colOff>170793</xdr:colOff>
      <xdr:row>29</xdr:row>
      <xdr:rowOff>32844</xdr:rowOff>
    </xdr:to>
    <xdr:sp macro="" textlink="">
      <xdr:nvSpPr>
        <xdr:cNvPr id="138" name="Rechteck 137"/>
        <xdr:cNvSpPr/>
      </xdr:nvSpPr>
      <xdr:spPr>
        <a:xfrm>
          <a:off x="6912908" y="4381500"/>
          <a:ext cx="1061816" cy="505810"/>
        </a:xfrm>
        <a:prstGeom prst="rect">
          <a:avLst/>
        </a:prstGeom>
        <a:gradFill>
          <a:gsLst>
            <a:gs pos="0">
              <a:schemeClr val="accent1">
                <a:tint val="66000"/>
                <a:satMod val="160000"/>
              </a:schemeClr>
            </a:gs>
            <a:gs pos="34000">
              <a:schemeClr val="accent1">
                <a:tint val="23500"/>
                <a:satMod val="160000"/>
                <a:alpha val="64000"/>
              </a:schemeClr>
            </a:gs>
          </a:gsLst>
          <a:lin ang="5400000" scaled="0"/>
        </a:gradFill>
        <a:ln w="3175">
          <a:solidFill>
            <a:schemeClr val="accent1">
              <a:shade val="95000"/>
              <a:satMod val="10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13</xdr:col>
      <xdr:colOff>670038</xdr:colOff>
      <xdr:row>26</xdr:row>
      <xdr:rowOff>6570</xdr:rowOff>
    </xdr:from>
    <xdr:to>
      <xdr:col>13</xdr:col>
      <xdr:colOff>1196688</xdr:colOff>
      <xdr:row>29</xdr:row>
      <xdr:rowOff>46658</xdr:rowOff>
    </xdr:to>
    <xdr:pic>
      <xdr:nvPicPr>
        <xdr:cNvPr id="8" name="Grafik 7"/>
        <xdr:cNvPicPr>
          <a:picLocks noChangeAspect="1"/>
        </xdr:cNvPicPr>
      </xdr:nvPicPr>
      <xdr:blipFill>
        <a:blip xmlns:r="http://schemas.openxmlformats.org/officeDocument/2006/relationships" r:embed="rId2">
          <a:grayscl/>
        </a:blip>
        <a:stretch>
          <a:fillRect/>
        </a:stretch>
      </xdr:blipFill>
      <xdr:spPr>
        <a:xfrm>
          <a:off x="9715504" y="4335518"/>
          <a:ext cx="526263" cy="532760"/>
        </a:xfrm>
        <a:prstGeom prst="rect">
          <a:avLst/>
        </a:prstGeom>
      </xdr:spPr>
    </xdr:pic>
    <xdr:clientData/>
  </xdr:twoCellAnchor>
  <xdr:twoCellAnchor editAs="oneCell">
    <xdr:from>
      <xdr:col>11</xdr:col>
      <xdr:colOff>829008</xdr:colOff>
      <xdr:row>27</xdr:row>
      <xdr:rowOff>33356</xdr:rowOff>
    </xdr:from>
    <xdr:to>
      <xdr:col>13</xdr:col>
      <xdr:colOff>26276</xdr:colOff>
      <xdr:row>29</xdr:row>
      <xdr:rowOff>47293</xdr:rowOff>
    </xdr:to>
    <xdr:pic>
      <xdr:nvPicPr>
        <xdr:cNvPr id="81" name="Grafik 80" descr="C:\Dokumente und Einstellungen\stmi\Lokale Einstellungen\Temporary Internet Files\Content.IE5\7YRCOWOR\MC900397716[1].wmf"/>
        <xdr:cNvPicPr>
          <a:picLocks noChangeAspect="1" noChangeArrowheads="1"/>
        </xdr:cNvPicPr>
      </xdr:nvPicPr>
      <xdr:blipFill>
        <a:blip xmlns:r="http://schemas.openxmlformats.org/officeDocument/2006/relationships" r:embed="rId3" cstate="print">
          <a:grayscl/>
          <a:extLst>
            <a:ext uri="{28A0092B-C50C-407E-A947-70E740481C1C}">
              <a14:useLocalDpi xmlns:a14="http://schemas.microsoft.com/office/drawing/2010/main" val="0"/>
            </a:ext>
          </a:extLst>
        </a:blip>
        <a:srcRect/>
        <a:stretch>
          <a:fillRect/>
        </a:stretch>
      </xdr:blipFill>
      <xdr:spPr bwMode="auto">
        <a:xfrm>
          <a:off x="8632939" y="4559373"/>
          <a:ext cx="1121975" cy="3423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874745</xdr:colOff>
          <xdr:row>30</xdr:row>
          <xdr:rowOff>57669</xdr:rowOff>
        </xdr:from>
        <xdr:to>
          <xdr:col>6</xdr:col>
          <xdr:colOff>288591</xdr:colOff>
          <xdr:row>35</xdr:row>
          <xdr:rowOff>157377</xdr:rowOff>
        </xdr:to>
        <xdr:grpSp>
          <xdr:nvGrpSpPr>
            <xdr:cNvPr id="2" name="Gruppieren 1"/>
            <xdr:cNvGrpSpPr/>
          </xdr:nvGrpSpPr>
          <xdr:grpSpPr>
            <a:xfrm>
              <a:off x="2059158" y="5110060"/>
              <a:ext cx="1360259" cy="927969"/>
              <a:chOff x="809625" y="2667003"/>
              <a:chExt cx="1362075" cy="695325"/>
            </a:xfrm>
          </xdr:grpSpPr>
          <xdr:sp macro="" textlink="">
            <xdr:nvSpPr>
              <xdr:cNvPr id="1031" name="Option Button 7" hidden="1">
                <a:extLst>
                  <a:ext uri="{63B3BB69-23CF-44E3-9099-C40C66FF867C}">
                    <a14:compatExt spid="_x0000_s1031"/>
                  </a:ext>
                </a:extLst>
              </xdr:cNvPr>
              <xdr:cNvSpPr/>
            </xdr:nvSpPr>
            <xdr:spPr bwMode="auto">
              <a:xfrm>
                <a:off x="819150" y="2667003"/>
                <a:ext cx="1352550" cy="314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next lower focal width</a:t>
                </a:r>
              </a:p>
            </xdr:txBody>
          </xdr:sp>
          <xdr:sp macro="" textlink="">
            <xdr:nvSpPr>
              <xdr:cNvPr id="1032" name="Option Button 8" hidden="1">
                <a:extLst>
                  <a:ext uri="{63B3BB69-23CF-44E3-9099-C40C66FF867C}">
                    <a14:compatExt spid="_x0000_s1032"/>
                  </a:ext>
                </a:extLst>
              </xdr:cNvPr>
              <xdr:cNvSpPr/>
            </xdr:nvSpPr>
            <xdr:spPr bwMode="auto">
              <a:xfrm>
                <a:off x="809625" y="2867025"/>
                <a:ext cx="1352550"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recommended focal width</a:t>
                </a:r>
              </a:p>
            </xdr:txBody>
          </xdr:sp>
          <xdr:sp macro="" textlink="">
            <xdr:nvSpPr>
              <xdr:cNvPr id="1033" name="Option Button 9" hidden="1">
                <a:extLst>
                  <a:ext uri="{63B3BB69-23CF-44E3-9099-C40C66FF867C}">
                    <a14:compatExt spid="_x0000_s1033"/>
                  </a:ext>
                </a:extLst>
              </xdr:cNvPr>
              <xdr:cNvSpPr/>
            </xdr:nvSpPr>
            <xdr:spPr bwMode="auto">
              <a:xfrm>
                <a:off x="809625" y="3048003"/>
                <a:ext cx="1352550"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next higher focal width</a:t>
                </a:r>
              </a:p>
            </xdr:txBody>
          </xdr:sp>
        </xdr:grpSp>
        <xdr:clientData fLocksWithSheet="0"/>
      </xdr:twoCellAnchor>
    </mc:Choice>
    <mc:Fallback/>
  </mc:AlternateContent>
  <xdr:twoCellAnchor>
    <xdr:from>
      <xdr:col>2</xdr:col>
      <xdr:colOff>2143125</xdr:colOff>
      <xdr:row>20</xdr:row>
      <xdr:rowOff>9524</xdr:rowOff>
    </xdr:from>
    <xdr:to>
      <xdr:col>2</xdr:col>
      <xdr:colOff>2857500</xdr:colOff>
      <xdr:row>23</xdr:row>
      <xdr:rowOff>19049</xdr:rowOff>
    </xdr:to>
    <xdr:sp macro="" textlink="">
      <xdr:nvSpPr>
        <xdr:cNvPr id="35" name="Textfeld 34"/>
        <xdr:cNvSpPr txBox="1"/>
      </xdr:nvSpPr>
      <xdr:spPr>
        <a:xfrm>
          <a:off x="2419350" y="2552699"/>
          <a:ext cx="714375" cy="657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400"/>
            <a:t>Field of view</a:t>
          </a:r>
        </a:p>
      </xdr:txBody>
    </xdr:sp>
    <xdr:clientData/>
  </xdr:twoCellAnchor>
  <xdr:twoCellAnchor editAs="oneCell">
    <xdr:from>
      <xdr:col>6</xdr:col>
      <xdr:colOff>98652</xdr:colOff>
      <xdr:row>18</xdr:row>
      <xdr:rowOff>0</xdr:rowOff>
    </xdr:from>
    <xdr:to>
      <xdr:col>6</xdr:col>
      <xdr:colOff>99391</xdr:colOff>
      <xdr:row>23</xdr:row>
      <xdr:rowOff>8283</xdr:rowOff>
    </xdr:to>
    <xdr:cxnSp macro="">
      <xdr:nvCxnSpPr>
        <xdr:cNvPr id="73" name="Gerade Verbindung mit Pfeil 72"/>
        <xdr:cNvCxnSpPr/>
      </xdr:nvCxnSpPr>
      <xdr:spPr>
        <a:xfrm>
          <a:off x="3312304" y="3205370"/>
          <a:ext cx="739" cy="836543"/>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101205</xdr:colOff>
      <xdr:row>9</xdr:row>
      <xdr:rowOff>34529</xdr:rowOff>
    </xdr:from>
    <xdr:to>
      <xdr:col>6</xdr:col>
      <xdr:colOff>215956</xdr:colOff>
      <xdr:row>27</xdr:row>
      <xdr:rowOff>127122</xdr:rowOff>
    </xdr:to>
    <xdr:grpSp>
      <xdr:nvGrpSpPr>
        <xdr:cNvPr id="166" name="Gruppieren 165"/>
        <xdr:cNvGrpSpPr/>
      </xdr:nvGrpSpPr>
      <xdr:grpSpPr>
        <a:xfrm>
          <a:off x="184031" y="1682768"/>
          <a:ext cx="3162751" cy="2999789"/>
          <a:chOff x="234227" y="1629015"/>
          <a:chExt cx="3193953" cy="2971578"/>
        </a:xfrm>
      </xdr:grpSpPr>
      <xdr:grpSp>
        <xdr:nvGrpSpPr>
          <xdr:cNvPr id="146" name="Gruppieren 145"/>
          <xdr:cNvGrpSpPr/>
        </xdr:nvGrpSpPr>
        <xdr:grpSpPr>
          <a:xfrm>
            <a:off x="234227" y="1629015"/>
            <a:ext cx="3193953" cy="2203230"/>
            <a:chOff x="231656" y="1647500"/>
            <a:chExt cx="3197952" cy="2390065"/>
          </a:xfrm>
        </xdr:grpSpPr>
        <xdr:cxnSp macro="">
          <xdr:nvCxnSpPr>
            <xdr:cNvPr id="48" name="Gerade Verbindung 47"/>
            <xdr:cNvCxnSpPr/>
          </xdr:nvCxnSpPr>
          <xdr:spPr>
            <a:xfrm flipH="1" flipV="1">
              <a:off x="260825" y="1647500"/>
              <a:ext cx="502" cy="25248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61" name="Gerade Verbindung 60"/>
            <xdr:cNvCxnSpPr/>
          </xdr:nvCxnSpPr>
          <xdr:spPr>
            <a:xfrm flipH="1" flipV="1">
              <a:off x="3172465" y="1654518"/>
              <a:ext cx="502" cy="25248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3" name="Gerade Verbindung mit Pfeil 52"/>
            <xdr:cNvCxnSpPr/>
          </xdr:nvCxnSpPr>
          <xdr:spPr>
            <a:xfrm>
              <a:off x="2170259" y="1782052"/>
              <a:ext cx="1004657" cy="1107"/>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64" name="Gerade Verbindung mit Pfeil 63"/>
            <xdr:cNvCxnSpPr/>
          </xdr:nvCxnSpPr>
          <xdr:spPr>
            <a:xfrm flipH="1">
              <a:off x="260319" y="1775864"/>
              <a:ext cx="973672" cy="1617"/>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70" name="Gerade Verbindung 69"/>
            <xdr:cNvCxnSpPr/>
          </xdr:nvCxnSpPr>
          <xdr:spPr>
            <a:xfrm rot="16200000" flipH="1" flipV="1">
              <a:off x="3303116" y="3913772"/>
              <a:ext cx="502" cy="24708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71" name="Gerade Verbindung 70"/>
            <xdr:cNvCxnSpPr/>
          </xdr:nvCxnSpPr>
          <xdr:spPr>
            <a:xfrm rot="16200000" flipH="1" flipV="1">
              <a:off x="3305816" y="1786200"/>
              <a:ext cx="502" cy="24708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72" name="Gerade Verbindung mit Pfeil 71"/>
            <xdr:cNvCxnSpPr/>
          </xdr:nvCxnSpPr>
          <xdr:spPr>
            <a:xfrm flipH="1" flipV="1">
              <a:off x="3306598" y="1909831"/>
              <a:ext cx="5442" cy="1020447"/>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grpSp>
          <xdr:nvGrpSpPr>
            <xdr:cNvPr id="66" name="Gruppieren 65"/>
            <xdr:cNvGrpSpPr/>
          </xdr:nvGrpSpPr>
          <xdr:grpSpPr>
            <a:xfrm>
              <a:off x="231656" y="1905258"/>
              <a:ext cx="2933999" cy="2123284"/>
              <a:chOff x="232174" y="1137046"/>
              <a:chExt cx="2930376" cy="2071518"/>
            </a:xfrm>
          </xdr:grpSpPr>
          <xdr:sp macro="" textlink="">
            <xdr:nvSpPr>
              <xdr:cNvPr id="18" name="Rechteck 17"/>
              <xdr:cNvSpPr/>
            </xdr:nvSpPr>
            <xdr:spPr>
              <a:xfrm>
                <a:off x="264318" y="1142999"/>
                <a:ext cx="2898232" cy="2065565"/>
              </a:xfrm>
              <a:prstGeom prst="rect">
                <a:avLst/>
              </a:prstGeom>
              <a:gradFill>
                <a:gsLst>
                  <a:gs pos="0">
                    <a:schemeClr val="accent1">
                      <a:tint val="66000"/>
                      <a:satMod val="160000"/>
                    </a:schemeClr>
                  </a:gs>
                  <a:gs pos="34000">
                    <a:schemeClr val="accent1">
                      <a:tint val="23500"/>
                      <a:satMod val="160000"/>
                      <a:alpha val="64000"/>
                    </a:schemeClr>
                  </a:gs>
                </a:gsLst>
                <a:lin ang="5400000" scaled="0"/>
              </a:gradFill>
              <a:ln w="3175">
                <a:solidFill>
                  <a:schemeClr val="accent1">
                    <a:shade val="95000"/>
                    <a:satMod val="10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65" name="Textfeld 64"/>
              <xdr:cNvSpPr txBox="1"/>
            </xdr:nvSpPr>
            <xdr:spPr>
              <a:xfrm>
                <a:off x="232174" y="1137046"/>
                <a:ext cx="984670" cy="557315"/>
              </a:xfrm>
              <a:prstGeom prst="rect">
                <a:avLst/>
              </a:prstGeom>
              <a:no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Field of view</a:t>
                </a:r>
              </a:p>
            </xdr:txBody>
          </xdr:sp>
        </xdr:grpSp>
      </xdr:grpSp>
      <xdr:grpSp>
        <xdr:nvGrpSpPr>
          <xdr:cNvPr id="34" name="Gruppieren 33"/>
          <xdr:cNvGrpSpPr/>
        </xdr:nvGrpSpPr>
        <xdr:grpSpPr>
          <a:xfrm>
            <a:off x="1056947" y="2285672"/>
            <a:ext cx="1331943" cy="2314921"/>
            <a:chOff x="1409700" y="1771650"/>
            <a:chExt cx="1333499" cy="2291368"/>
          </a:xfrm>
        </xdr:grpSpPr>
        <xdr:grpSp>
          <xdr:nvGrpSpPr>
            <xdr:cNvPr id="33" name="Gruppieren 32"/>
            <xdr:cNvGrpSpPr/>
          </xdr:nvGrpSpPr>
          <xdr:grpSpPr>
            <a:xfrm>
              <a:off x="1409700" y="1771650"/>
              <a:ext cx="1333499" cy="2291368"/>
              <a:chOff x="1409700" y="1771650"/>
              <a:chExt cx="1333499" cy="2291368"/>
            </a:xfrm>
          </xdr:grpSpPr>
          <xdr:sp macro="" textlink="">
            <xdr:nvSpPr>
              <xdr:cNvPr id="28" name="Rechteck 27"/>
              <xdr:cNvSpPr/>
            </xdr:nvSpPr>
            <xdr:spPr>
              <a:xfrm>
                <a:off x="1409700" y="1771650"/>
                <a:ext cx="1333499" cy="2291368"/>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nvGrpSpPr>
              <xdr:cNvPr id="25" name="Gruppieren 24"/>
              <xdr:cNvGrpSpPr/>
            </xdr:nvGrpSpPr>
            <xdr:grpSpPr>
              <a:xfrm rot="1868709">
                <a:off x="1454603" y="1824718"/>
                <a:ext cx="144000" cy="142642"/>
                <a:chOff x="4689021" y="2573111"/>
                <a:chExt cx="144000" cy="144003"/>
              </a:xfrm>
            </xdr:grpSpPr>
            <xdr:sp macro="" textlink="">
              <xdr:nvSpPr>
                <xdr:cNvPr id="22" name="Ellipse 21"/>
                <xdr:cNvSpPr/>
              </xdr:nvSpPr>
              <xdr:spPr>
                <a:xfrm>
                  <a:off x="4689021" y="2573111"/>
                  <a:ext cx="144000" cy="144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xnSp macro="">
              <xdr:nvCxnSpPr>
                <xdr:cNvPr id="24" name="Gerade Verbindung 23"/>
                <xdr:cNvCxnSpPr/>
              </xdr:nvCxnSpPr>
              <xdr:spPr>
                <a:xfrm>
                  <a:off x="4762376" y="2573114"/>
                  <a:ext cx="0" cy="144000"/>
                </a:xfrm>
                <a:prstGeom prst="line">
                  <a:avLst/>
                </a:prstGeom>
                <a:ln w="28575" cmpd="dbl">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grpSp>
            <xdr:nvGrpSpPr>
              <xdr:cNvPr id="36" name="Gruppieren 35"/>
              <xdr:cNvGrpSpPr/>
            </xdr:nvGrpSpPr>
            <xdr:grpSpPr>
              <a:xfrm rot="19089828">
                <a:off x="2548643" y="1819270"/>
                <a:ext cx="144000" cy="142639"/>
                <a:chOff x="4689021" y="2573111"/>
                <a:chExt cx="144000" cy="144000"/>
              </a:xfrm>
            </xdr:grpSpPr>
            <xdr:sp macro="" textlink="">
              <xdr:nvSpPr>
                <xdr:cNvPr id="37" name="Ellipse 36"/>
                <xdr:cNvSpPr/>
              </xdr:nvSpPr>
              <xdr:spPr>
                <a:xfrm>
                  <a:off x="4689021" y="2573111"/>
                  <a:ext cx="144000" cy="144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xnSp macro="">
              <xdr:nvCxnSpPr>
                <xdr:cNvPr id="38" name="Gerade Verbindung 37"/>
                <xdr:cNvCxnSpPr/>
              </xdr:nvCxnSpPr>
              <xdr:spPr>
                <a:xfrm>
                  <a:off x="4762382" y="2573111"/>
                  <a:ext cx="0" cy="144000"/>
                </a:xfrm>
                <a:prstGeom prst="line">
                  <a:avLst/>
                </a:prstGeom>
                <a:ln w="28575" cmpd="dbl">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grpSp>
            <xdr:nvGrpSpPr>
              <xdr:cNvPr id="39" name="Gruppieren 38"/>
              <xdr:cNvGrpSpPr/>
            </xdr:nvGrpSpPr>
            <xdr:grpSpPr>
              <a:xfrm rot="20640935">
                <a:off x="1454630" y="3875309"/>
                <a:ext cx="144000" cy="142639"/>
                <a:chOff x="4689021" y="2573111"/>
                <a:chExt cx="144000" cy="144000"/>
              </a:xfrm>
            </xdr:grpSpPr>
            <xdr:sp macro="" textlink="">
              <xdr:nvSpPr>
                <xdr:cNvPr id="40" name="Ellipse 39"/>
                <xdr:cNvSpPr/>
              </xdr:nvSpPr>
              <xdr:spPr>
                <a:xfrm>
                  <a:off x="4689021" y="2573111"/>
                  <a:ext cx="144000" cy="144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xnSp macro="">
              <xdr:nvCxnSpPr>
                <xdr:cNvPr id="41" name="Gerade Verbindung 40"/>
                <xdr:cNvCxnSpPr/>
              </xdr:nvCxnSpPr>
              <xdr:spPr>
                <a:xfrm>
                  <a:off x="4762382" y="2573111"/>
                  <a:ext cx="0" cy="144000"/>
                </a:xfrm>
                <a:prstGeom prst="line">
                  <a:avLst/>
                </a:prstGeom>
                <a:ln w="28575" cmpd="dbl">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grpSp>
            <xdr:nvGrpSpPr>
              <xdr:cNvPr id="42" name="Gruppieren 41"/>
              <xdr:cNvGrpSpPr/>
            </xdr:nvGrpSpPr>
            <xdr:grpSpPr>
              <a:xfrm rot="5597836">
                <a:off x="2554767" y="3869184"/>
                <a:ext cx="142639" cy="144000"/>
                <a:chOff x="4689021" y="2573111"/>
                <a:chExt cx="144000" cy="144000"/>
              </a:xfrm>
            </xdr:grpSpPr>
            <xdr:sp macro="" textlink="">
              <xdr:nvSpPr>
                <xdr:cNvPr id="43" name="Ellipse 42"/>
                <xdr:cNvSpPr/>
              </xdr:nvSpPr>
              <xdr:spPr>
                <a:xfrm>
                  <a:off x="4689021" y="2573111"/>
                  <a:ext cx="144000" cy="144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xnSp macro="">
              <xdr:nvCxnSpPr>
                <xdr:cNvPr id="44" name="Gerade Verbindung 43"/>
                <xdr:cNvCxnSpPr/>
              </xdr:nvCxnSpPr>
              <xdr:spPr>
                <a:xfrm>
                  <a:off x="4762382" y="2573111"/>
                  <a:ext cx="0" cy="144000"/>
                </a:xfrm>
                <a:prstGeom prst="line">
                  <a:avLst/>
                </a:prstGeom>
                <a:ln w="28575" cmpd="dbl">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grpSp>
        <xdr:grpSp>
          <xdr:nvGrpSpPr>
            <xdr:cNvPr id="32" name="Gruppieren 31"/>
            <xdr:cNvGrpSpPr/>
          </xdr:nvGrpSpPr>
          <xdr:grpSpPr>
            <a:xfrm>
              <a:off x="1647825" y="3286126"/>
              <a:ext cx="857250" cy="770700"/>
              <a:chOff x="1649186" y="3311980"/>
              <a:chExt cx="857250" cy="777503"/>
            </a:xfrm>
          </xdr:grpSpPr>
          <xdr:sp macro="" textlink="">
            <xdr:nvSpPr>
              <xdr:cNvPr id="21" name="Rechteck 20"/>
              <xdr:cNvSpPr/>
            </xdr:nvSpPr>
            <xdr:spPr>
              <a:xfrm>
                <a:off x="1649186" y="3311980"/>
                <a:ext cx="857250" cy="730703"/>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b="1">
                  <a:solidFill>
                    <a:sysClr val="windowText" lastClr="000000"/>
                  </a:solidFill>
                </a:endParaRPr>
              </a:p>
              <a:p>
                <a:pPr algn="l"/>
                <a:r>
                  <a:rPr lang="de-DE" sz="1100">
                    <a:solidFill>
                      <a:sysClr val="windowText" lastClr="000000"/>
                    </a:solidFill>
                  </a:rPr>
                  <a:t>Model xxxx</a:t>
                </a:r>
              </a:p>
              <a:p>
                <a:pPr algn="l"/>
                <a:r>
                  <a:rPr lang="de-DE" sz="1100">
                    <a:solidFill>
                      <a:sysClr val="windowText" lastClr="000000"/>
                    </a:solidFill>
                  </a:rPr>
                  <a:t>xxxx</a:t>
                </a:r>
              </a:p>
            </xdr:txBody>
          </xdr:sp>
          <xdr:sp macro="" textlink="">
            <xdr:nvSpPr>
              <xdr:cNvPr id="30" name="Textfeld 29"/>
              <xdr:cNvSpPr txBox="1"/>
            </xdr:nvSpPr>
            <xdr:spPr>
              <a:xfrm>
                <a:off x="1752594" y="3918859"/>
                <a:ext cx="652551" cy="1706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500"/>
                  <a:t>Made in Germany</a:t>
                </a:r>
              </a:p>
            </xdr:txBody>
          </xdr:sp>
        </xdr:grpSp>
      </xdr:grpSp>
    </xdr:grpSp>
    <xdr:clientData/>
  </xdr:twoCellAnchor>
  <xdr:twoCellAnchor editAs="oneCell">
    <xdr:from>
      <xdr:col>9</xdr:col>
      <xdr:colOff>0</xdr:colOff>
      <xdr:row>1</xdr:row>
      <xdr:rowOff>158918</xdr:rowOff>
    </xdr:from>
    <xdr:to>
      <xdr:col>13</xdr:col>
      <xdr:colOff>1025769</xdr:colOff>
      <xdr:row>20</xdr:row>
      <xdr:rowOff>139409</xdr:rowOff>
    </xdr:to>
    <xdr:sp macro="" textlink="">
      <xdr:nvSpPr>
        <xdr:cNvPr id="76" name="Gefaltete Ecke 75"/>
        <xdr:cNvSpPr/>
      </xdr:nvSpPr>
      <xdr:spPr>
        <a:xfrm>
          <a:off x="5754414" y="428246"/>
          <a:ext cx="5085390" cy="3086151"/>
        </a:xfrm>
        <a:prstGeom prst="foldedCorner">
          <a:avLst/>
        </a:prstGeom>
        <a:solidFill>
          <a:sysClr val="window" lastClr="FFFFFF"/>
        </a:solidFill>
        <a:ln w="317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11</xdr:col>
      <xdr:colOff>823146</xdr:colOff>
      <xdr:row>26</xdr:row>
      <xdr:rowOff>9558</xdr:rowOff>
    </xdr:from>
    <xdr:to>
      <xdr:col>13</xdr:col>
      <xdr:colOff>24705</xdr:colOff>
      <xdr:row>29</xdr:row>
      <xdr:rowOff>35514</xdr:rowOff>
    </xdr:to>
    <xdr:sp macro="" textlink="">
      <xdr:nvSpPr>
        <xdr:cNvPr id="141" name="Rechteck 140"/>
        <xdr:cNvSpPr/>
      </xdr:nvSpPr>
      <xdr:spPr>
        <a:xfrm>
          <a:off x="8318336" y="4338506"/>
          <a:ext cx="751835" cy="518629"/>
        </a:xfrm>
        <a:prstGeom prst="rect">
          <a:avLst/>
        </a:prstGeom>
        <a:gradFill>
          <a:gsLst>
            <a:gs pos="0">
              <a:schemeClr val="accent1">
                <a:tint val="66000"/>
                <a:satMod val="160000"/>
              </a:schemeClr>
            </a:gs>
            <a:gs pos="34000">
              <a:schemeClr val="accent1">
                <a:tint val="23500"/>
                <a:satMod val="160000"/>
                <a:alpha val="64000"/>
              </a:schemeClr>
            </a:gs>
          </a:gsLst>
          <a:lin ang="5400000" scaled="0"/>
        </a:gradFill>
        <a:ln w="3175">
          <a:solidFill>
            <a:schemeClr val="accent1">
              <a:shade val="95000"/>
              <a:satMod val="10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13</xdr:col>
      <xdr:colOff>706135</xdr:colOff>
      <xdr:row>26</xdr:row>
      <xdr:rowOff>9560</xdr:rowOff>
    </xdr:from>
    <xdr:to>
      <xdr:col>14</xdr:col>
      <xdr:colOff>584692</xdr:colOff>
      <xdr:row>29</xdr:row>
      <xdr:rowOff>35516</xdr:rowOff>
    </xdr:to>
    <xdr:sp macro="" textlink="">
      <xdr:nvSpPr>
        <xdr:cNvPr id="143" name="Rechteck 142"/>
        <xdr:cNvSpPr/>
      </xdr:nvSpPr>
      <xdr:spPr>
        <a:xfrm>
          <a:off x="9751601" y="4338508"/>
          <a:ext cx="752229" cy="518629"/>
        </a:xfrm>
        <a:prstGeom prst="rect">
          <a:avLst/>
        </a:prstGeom>
        <a:gradFill>
          <a:gsLst>
            <a:gs pos="0">
              <a:schemeClr val="accent1">
                <a:tint val="66000"/>
                <a:satMod val="160000"/>
              </a:schemeClr>
            </a:gs>
            <a:gs pos="34000">
              <a:schemeClr val="accent1">
                <a:tint val="23500"/>
                <a:satMod val="160000"/>
                <a:alpha val="64000"/>
              </a:schemeClr>
            </a:gs>
          </a:gsLst>
          <a:lin ang="5400000" scaled="0"/>
        </a:gradFill>
        <a:ln w="3175">
          <a:solidFill>
            <a:schemeClr val="accent1">
              <a:shade val="95000"/>
              <a:satMod val="10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oneCellAnchor>
    <xdr:from>
      <xdr:col>9</xdr:col>
      <xdr:colOff>659421</xdr:colOff>
      <xdr:row>28</xdr:row>
      <xdr:rowOff>142346</xdr:rowOff>
    </xdr:from>
    <xdr:ext cx="1883018" cy="609013"/>
    <xdr:sp macro="" textlink="">
      <xdr:nvSpPr>
        <xdr:cNvPr id="1024" name="Textfeld 1023"/>
        <xdr:cNvSpPr txBox="1"/>
      </xdr:nvSpPr>
      <xdr:spPr>
        <a:xfrm>
          <a:off x="6328438" y="4832587"/>
          <a:ext cx="1883018"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i="1">
              <a:solidFill>
                <a:srgbClr val="4F81BD"/>
              </a:solidFill>
            </a:rPr>
            <a:t>required</a:t>
          </a:r>
          <a:r>
            <a:rPr lang="de-DE" sz="1100">
              <a:solidFill>
                <a:srgbClr val="4F81BD"/>
              </a:solidFill>
            </a:rPr>
            <a:t> FOV </a:t>
          </a:r>
        </a:p>
        <a:p>
          <a:pPr algn="ctr"/>
          <a:r>
            <a:rPr lang="de-DE" sz="1100" baseline="0">
              <a:solidFill>
                <a:srgbClr val="4F81BD"/>
              </a:solidFill>
            </a:rPr>
            <a:t>= </a:t>
          </a:r>
        </a:p>
        <a:p>
          <a:pPr algn="ctr"/>
          <a:r>
            <a:rPr lang="de-DE" sz="1100" i="1">
              <a:solidFill>
                <a:srgbClr val="4F81BD"/>
              </a:solidFill>
              <a:effectLst/>
              <a:latin typeface="+mn-lt"/>
              <a:ea typeface="+mn-ea"/>
              <a:cs typeface="+mn-cs"/>
            </a:rPr>
            <a:t>VeriSens</a:t>
          </a:r>
          <a:r>
            <a:rPr lang="de-DE" sz="1100">
              <a:solidFill>
                <a:srgbClr val="4F81BD"/>
              </a:solidFill>
              <a:effectLst/>
              <a:latin typeface="+mn-lt"/>
              <a:ea typeface="+mn-ea"/>
              <a:cs typeface="+mn-cs"/>
            </a:rPr>
            <a:t>® </a:t>
          </a:r>
          <a:r>
            <a:rPr lang="de-DE" sz="1100" baseline="0">
              <a:solidFill>
                <a:srgbClr val="4F81BD"/>
              </a:solidFill>
            </a:rPr>
            <a:t>FOV</a:t>
          </a:r>
        </a:p>
      </xdr:txBody>
    </xdr:sp>
    <xdr:clientData/>
  </xdr:oneCellAnchor>
  <xdr:twoCellAnchor>
    <xdr:from>
      <xdr:col>8</xdr:col>
      <xdr:colOff>615461</xdr:colOff>
      <xdr:row>25</xdr:row>
      <xdr:rowOff>94614</xdr:rowOff>
    </xdr:from>
    <xdr:to>
      <xdr:col>9</xdr:col>
      <xdr:colOff>1025768</xdr:colOff>
      <xdr:row>30</xdr:row>
      <xdr:rowOff>116596</xdr:rowOff>
    </xdr:to>
    <xdr:grpSp>
      <xdr:nvGrpSpPr>
        <xdr:cNvPr id="1051" name="Gruppieren 1050"/>
        <xdr:cNvGrpSpPr/>
      </xdr:nvGrpSpPr>
      <xdr:grpSpPr>
        <a:xfrm>
          <a:off x="5634722" y="4318744"/>
          <a:ext cx="1056350" cy="850243"/>
          <a:chOff x="5693018" y="4330212"/>
          <a:chExt cx="1055077" cy="814078"/>
        </a:xfrm>
      </xdr:grpSpPr>
      <xdr:grpSp>
        <xdr:nvGrpSpPr>
          <xdr:cNvPr id="188" name="Gruppieren 187"/>
          <xdr:cNvGrpSpPr/>
        </xdr:nvGrpSpPr>
        <xdr:grpSpPr>
          <a:xfrm>
            <a:off x="5693018" y="4440114"/>
            <a:ext cx="769327" cy="659423"/>
            <a:chOff x="771525" y="542925"/>
            <a:chExt cx="3581400" cy="3409950"/>
          </a:xfrm>
        </xdr:grpSpPr>
        <xdr:sp macro="" textlink="">
          <xdr:nvSpPr>
            <xdr:cNvPr id="189" name="Flussdiagramm: Daten 188"/>
            <xdr:cNvSpPr>
              <a:spLocks noChangeAspect="1"/>
            </xdr:cNvSpPr>
          </xdr:nvSpPr>
          <xdr:spPr>
            <a:xfrm>
              <a:off x="771525" y="2962275"/>
              <a:ext cx="3581400" cy="990600"/>
            </a:xfrm>
            <a:prstGeom prst="flowChartInputOutput">
              <a:avLst/>
            </a:prstGeom>
            <a:solidFill>
              <a:srgbClr val="4F81BD">
                <a:alpha val="0"/>
              </a:srgbClr>
            </a:solidFill>
            <a:ln>
              <a:solidFill>
                <a:srgbClr val="4F81BD"/>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190" name="Flussdiagramm: Daten 189"/>
            <xdr:cNvSpPr>
              <a:spLocks noChangeAspect="1"/>
            </xdr:cNvSpPr>
          </xdr:nvSpPr>
          <xdr:spPr>
            <a:xfrm>
              <a:off x="2524125" y="542925"/>
              <a:ext cx="447675" cy="123825"/>
            </a:xfrm>
            <a:prstGeom prst="flowChartInputOutput">
              <a:avLst/>
            </a:prstGeom>
            <a:solidFill>
              <a:srgbClr val="4F81BD">
                <a:alpha val="0"/>
              </a:srgbClr>
            </a:solidFill>
            <a:ln>
              <a:solidFill>
                <a:srgbClr val="4F81BD"/>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xnSp macro="">
          <xdr:nvCxnSpPr>
            <xdr:cNvPr id="191" name="Gerade Verbindung 190"/>
            <xdr:cNvCxnSpPr>
              <a:stCxn id="190" idx="2"/>
              <a:endCxn id="189" idx="2"/>
            </xdr:cNvCxnSpPr>
          </xdr:nvCxnSpPr>
          <xdr:spPr>
            <a:xfrm flipH="1">
              <a:off x="1129665" y="604838"/>
              <a:ext cx="1439228" cy="2852737"/>
            </a:xfrm>
            <a:prstGeom prst="line">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92" name="Gerade Verbindung 191"/>
            <xdr:cNvCxnSpPr>
              <a:stCxn id="190" idx="5"/>
              <a:endCxn id="189" idx="5"/>
            </xdr:cNvCxnSpPr>
          </xdr:nvCxnSpPr>
          <xdr:spPr>
            <a:xfrm>
              <a:off x="2927033" y="604838"/>
              <a:ext cx="1067752" cy="2852737"/>
            </a:xfrm>
            <a:prstGeom prst="line">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93" name="Gerade Verbindung 192"/>
            <xdr:cNvCxnSpPr>
              <a:stCxn id="190" idx="3"/>
              <a:endCxn id="189" idx="3"/>
            </xdr:cNvCxnSpPr>
          </xdr:nvCxnSpPr>
          <xdr:spPr>
            <a:xfrm flipH="1">
              <a:off x="2204085" y="666750"/>
              <a:ext cx="499110" cy="3286125"/>
            </a:xfrm>
            <a:prstGeom prst="line">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94" name="Gerade Verbindung 193"/>
            <xdr:cNvCxnSpPr>
              <a:stCxn id="190" idx="1"/>
              <a:endCxn id="189" idx="0"/>
            </xdr:cNvCxnSpPr>
          </xdr:nvCxnSpPr>
          <xdr:spPr>
            <a:xfrm>
              <a:off x="2747963" y="542925"/>
              <a:ext cx="172402" cy="2419350"/>
            </a:xfrm>
            <a:prstGeom prst="line">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grpSp>
      <xdr:sp macro="" textlink="">
        <xdr:nvSpPr>
          <xdr:cNvPr id="195" name="Textfeld 194"/>
          <xdr:cNvSpPr txBox="1"/>
        </xdr:nvSpPr>
        <xdr:spPr>
          <a:xfrm>
            <a:off x="6147287" y="4330212"/>
            <a:ext cx="60080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solidFill>
                  <a:srgbClr val="4F81BD"/>
                </a:solidFill>
              </a:rPr>
              <a:t>Sensor</a:t>
            </a:r>
            <a:endParaRPr lang="de-DE" sz="700" b="1" baseline="0">
              <a:solidFill>
                <a:srgbClr val="4F81BD"/>
              </a:solidFill>
            </a:endParaRPr>
          </a:p>
        </xdr:txBody>
      </xdr:sp>
      <xdr:sp macro="" textlink="">
        <xdr:nvSpPr>
          <xdr:cNvPr id="196" name="Textfeld 195"/>
          <xdr:cNvSpPr txBox="1"/>
        </xdr:nvSpPr>
        <xdr:spPr>
          <a:xfrm>
            <a:off x="5758960" y="4879730"/>
            <a:ext cx="60080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i="1">
                <a:solidFill>
                  <a:srgbClr val="4F81BD"/>
                </a:solidFill>
              </a:rPr>
              <a:t>FOV</a:t>
            </a:r>
            <a:endParaRPr lang="de-DE" sz="700" b="1" i="1" baseline="0">
              <a:solidFill>
                <a:srgbClr val="4F81BD"/>
              </a:solidFill>
            </a:endParaRPr>
          </a:p>
        </xdr:txBody>
      </xdr:sp>
    </xdr:grpSp>
    <xdr:clientData/>
  </xdr:twoCellAnchor>
  <xdr:oneCellAnchor>
    <xdr:from>
      <xdr:col>8</xdr:col>
      <xdr:colOff>131886</xdr:colOff>
      <xdr:row>31</xdr:row>
      <xdr:rowOff>51287</xdr:rowOff>
    </xdr:from>
    <xdr:ext cx="1883018" cy="436786"/>
    <xdr:sp macro="" textlink="">
      <xdr:nvSpPr>
        <xdr:cNvPr id="198" name="Textfeld 197"/>
        <xdr:cNvSpPr txBox="1"/>
      </xdr:nvSpPr>
      <xdr:spPr>
        <a:xfrm>
          <a:off x="5246078" y="5202114"/>
          <a:ext cx="1883018"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a:t>The </a:t>
          </a:r>
          <a:r>
            <a:rPr lang="de-DE" sz="1100" i="1"/>
            <a:t>VeriSens</a:t>
          </a:r>
          <a:r>
            <a:rPr lang="de-DE" sz="1100"/>
            <a:t>® FOV is </a:t>
          </a:r>
        </a:p>
        <a:p>
          <a:pPr algn="ctr"/>
          <a:r>
            <a:rPr lang="de-DE" sz="1100"/>
            <a:t>defined by the sensor</a:t>
          </a:r>
          <a:endParaRPr lang="de-DE" sz="1100" baseline="0"/>
        </a:p>
      </xdr:txBody>
    </xdr:sp>
    <xdr:clientData/>
  </xdr:oneCellAnchor>
  <xdr:oneCellAnchor>
    <xdr:from>
      <xdr:col>11</xdr:col>
      <xdr:colOff>443413</xdr:colOff>
      <xdr:row>32</xdr:row>
      <xdr:rowOff>95251</xdr:rowOff>
    </xdr:from>
    <xdr:ext cx="1540935" cy="436786"/>
    <xdr:sp macro="" textlink="">
      <xdr:nvSpPr>
        <xdr:cNvPr id="200" name="Textfeld 199"/>
        <xdr:cNvSpPr txBox="1"/>
      </xdr:nvSpPr>
      <xdr:spPr>
        <a:xfrm>
          <a:off x="8034105" y="5568463"/>
          <a:ext cx="1540935"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de-DE" sz="1100" b="1" baseline="0">
              <a:solidFill>
                <a:schemeClr val="tx1"/>
              </a:solidFill>
              <a:latin typeface="+mn-lt"/>
              <a:ea typeface="+mn-ea"/>
              <a:cs typeface="+mn-cs"/>
            </a:rPr>
            <a:t>WIDTH </a:t>
          </a:r>
          <a:r>
            <a:rPr lang="de-DE" sz="1100">
              <a:solidFill>
                <a:schemeClr val="tx1"/>
              </a:solidFill>
              <a:latin typeface="+mn-lt"/>
              <a:ea typeface="+mn-ea"/>
              <a:cs typeface="+mn-cs"/>
            </a:rPr>
            <a:t>impacts</a:t>
          </a:r>
          <a:r>
            <a:rPr lang="de-DE" sz="1100" b="1" baseline="0">
              <a:solidFill>
                <a:schemeClr val="tx1"/>
              </a:solidFill>
              <a:latin typeface="+mn-lt"/>
              <a:ea typeface="+mn-ea"/>
              <a:cs typeface="+mn-cs"/>
            </a:rPr>
            <a:t> </a:t>
          </a:r>
        </a:p>
        <a:p>
          <a:pPr algn="ctr"/>
          <a:r>
            <a:rPr lang="de-DE" sz="1100">
              <a:solidFill>
                <a:schemeClr val="tx1"/>
              </a:solidFill>
              <a:latin typeface="+mn-lt"/>
              <a:ea typeface="+mn-ea"/>
              <a:cs typeface="+mn-cs"/>
            </a:rPr>
            <a:t>reproduction scale/lens</a:t>
          </a:r>
        </a:p>
      </xdr:txBody>
    </xdr:sp>
    <xdr:clientData/>
  </xdr:oneCellAnchor>
  <xdr:oneCellAnchor>
    <xdr:from>
      <xdr:col>11</xdr:col>
      <xdr:colOff>284297</xdr:colOff>
      <xdr:row>28</xdr:row>
      <xdr:rowOff>148206</xdr:rowOff>
    </xdr:from>
    <xdr:ext cx="1883018" cy="609013"/>
    <xdr:sp macro="" textlink="">
      <xdr:nvSpPr>
        <xdr:cNvPr id="209" name="Textfeld 208"/>
        <xdr:cNvSpPr txBox="1"/>
      </xdr:nvSpPr>
      <xdr:spPr>
        <a:xfrm>
          <a:off x="7874989" y="4976648"/>
          <a:ext cx="1883018"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i="1">
              <a:solidFill>
                <a:srgbClr val="4F81BD"/>
              </a:solidFill>
            </a:rPr>
            <a:t>required</a:t>
          </a:r>
          <a:r>
            <a:rPr lang="de-DE" sz="1100">
              <a:solidFill>
                <a:srgbClr val="4F81BD"/>
              </a:solidFill>
            </a:rPr>
            <a:t> FOV </a:t>
          </a:r>
        </a:p>
        <a:p>
          <a:pPr algn="ctr"/>
          <a:r>
            <a:rPr lang="de-DE" sz="1100" baseline="0">
              <a:solidFill>
                <a:srgbClr val="4F81BD"/>
              </a:solidFill>
            </a:rPr>
            <a:t>≠ </a:t>
          </a:r>
        </a:p>
        <a:p>
          <a:pPr algn="ctr"/>
          <a:r>
            <a:rPr lang="de-DE" sz="1100" i="1">
              <a:solidFill>
                <a:srgbClr val="4F81BD"/>
              </a:solidFill>
              <a:effectLst/>
              <a:latin typeface="+mn-lt"/>
              <a:ea typeface="+mn-ea"/>
              <a:cs typeface="+mn-cs"/>
            </a:rPr>
            <a:t>VeriSens</a:t>
          </a:r>
          <a:r>
            <a:rPr lang="de-DE" sz="1100">
              <a:solidFill>
                <a:srgbClr val="4F81BD"/>
              </a:solidFill>
              <a:effectLst/>
              <a:latin typeface="+mn-lt"/>
              <a:ea typeface="+mn-ea"/>
              <a:cs typeface="+mn-cs"/>
            </a:rPr>
            <a:t>® </a:t>
          </a:r>
          <a:r>
            <a:rPr lang="de-DE" sz="1100" baseline="0">
              <a:solidFill>
                <a:srgbClr val="4F81BD"/>
              </a:solidFill>
            </a:rPr>
            <a:t>FOV</a:t>
          </a:r>
        </a:p>
      </xdr:txBody>
    </xdr:sp>
    <xdr:clientData/>
  </xdr:oneCellAnchor>
  <xdr:oneCellAnchor>
    <xdr:from>
      <xdr:col>13</xdr:col>
      <xdr:colOff>146550</xdr:colOff>
      <xdr:row>28</xdr:row>
      <xdr:rowOff>146538</xdr:rowOff>
    </xdr:from>
    <xdr:ext cx="1883018" cy="609013"/>
    <xdr:sp macro="" textlink="">
      <xdr:nvSpPr>
        <xdr:cNvPr id="210" name="Textfeld 209"/>
        <xdr:cNvSpPr txBox="1"/>
      </xdr:nvSpPr>
      <xdr:spPr>
        <a:xfrm>
          <a:off x="9290550" y="4974980"/>
          <a:ext cx="1883018"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i="1">
              <a:solidFill>
                <a:srgbClr val="4F81BD"/>
              </a:solidFill>
            </a:rPr>
            <a:t>required</a:t>
          </a:r>
          <a:r>
            <a:rPr lang="de-DE" sz="1100">
              <a:solidFill>
                <a:srgbClr val="4F81BD"/>
              </a:solidFill>
            </a:rPr>
            <a:t> FOV </a:t>
          </a:r>
        </a:p>
        <a:p>
          <a:pPr algn="ctr"/>
          <a:r>
            <a:rPr lang="de-DE" sz="1100" baseline="0">
              <a:solidFill>
                <a:srgbClr val="4F81BD"/>
              </a:solidFill>
              <a:effectLst/>
              <a:latin typeface="+mn-lt"/>
              <a:ea typeface="+mn-ea"/>
              <a:cs typeface="+mn-cs"/>
            </a:rPr>
            <a:t>≠</a:t>
          </a:r>
          <a:r>
            <a:rPr lang="de-DE" sz="1100" baseline="0">
              <a:solidFill>
                <a:srgbClr val="4F81BD"/>
              </a:solidFill>
            </a:rPr>
            <a:t> </a:t>
          </a:r>
        </a:p>
        <a:p>
          <a:pPr algn="ctr"/>
          <a:r>
            <a:rPr lang="de-DE" sz="1100" i="1">
              <a:solidFill>
                <a:srgbClr val="4F81BD"/>
              </a:solidFill>
              <a:effectLst/>
              <a:latin typeface="+mn-lt"/>
              <a:ea typeface="+mn-ea"/>
              <a:cs typeface="+mn-cs"/>
            </a:rPr>
            <a:t>VeriSens</a:t>
          </a:r>
          <a:r>
            <a:rPr lang="de-DE" sz="1100">
              <a:solidFill>
                <a:srgbClr val="4F81BD"/>
              </a:solidFill>
              <a:effectLst/>
              <a:latin typeface="+mn-lt"/>
              <a:ea typeface="+mn-ea"/>
              <a:cs typeface="+mn-cs"/>
            </a:rPr>
            <a:t>® </a:t>
          </a:r>
          <a:r>
            <a:rPr lang="de-DE" sz="1100" baseline="0">
              <a:solidFill>
                <a:srgbClr val="4F81BD"/>
              </a:solidFill>
            </a:rPr>
            <a:t>FOV</a:t>
          </a:r>
        </a:p>
      </xdr:txBody>
    </xdr:sp>
    <xdr:clientData/>
  </xdr:oneCellAnchor>
  <xdr:oneCellAnchor>
    <xdr:from>
      <xdr:col>13</xdr:col>
      <xdr:colOff>365643</xdr:colOff>
      <xdr:row>32</xdr:row>
      <xdr:rowOff>95249</xdr:rowOff>
    </xdr:from>
    <xdr:ext cx="1540935" cy="436786"/>
    <xdr:sp macro="" textlink="">
      <xdr:nvSpPr>
        <xdr:cNvPr id="211" name="Textfeld 210"/>
        <xdr:cNvSpPr txBox="1"/>
      </xdr:nvSpPr>
      <xdr:spPr>
        <a:xfrm>
          <a:off x="9509643" y="5568461"/>
          <a:ext cx="1540935"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de-DE" sz="1100" b="1" baseline="0">
              <a:solidFill>
                <a:schemeClr val="tx1"/>
              </a:solidFill>
              <a:latin typeface="+mn-lt"/>
              <a:ea typeface="+mn-ea"/>
              <a:cs typeface="+mn-cs"/>
            </a:rPr>
            <a:t>HIGHT </a:t>
          </a:r>
          <a:r>
            <a:rPr lang="de-DE" sz="1100">
              <a:solidFill>
                <a:schemeClr val="tx1"/>
              </a:solidFill>
              <a:latin typeface="+mn-lt"/>
              <a:ea typeface="+mn-ea"/>
              <a:cs typeface="+mn-cs"/>
            </a:rPr>
            <a:t>impacts</a:t>
          </a:r>
          <a:r>
            <a:rPr lang="de-DE" sz="1100" b="1" baseline="0">
              <a:solidFill>
                <a:schemeClr val="tx1"/>
              </a:solidFill>
              <a:latin typeface="+mn-lt"/>
              <a:ea typeface="+mn-ea"/>
              <a:cs typeface="+mn-cs"/>
            </a:rPr>
            <a:t> </a:t>
          </a:r>
        </a:p>
        <a:p>
          <a:pPr algn="ctr"/>
          <a:r>
            <a:rPr lang="de-DE" sz="1100">
              <a:solidFill>
                <a:schemeClr val="tx1"/>
              </a:solidFill>
              <a:latin typeface="+mn-lt"/>
              <a:ea typeface="+mn-ea"/>
              <a:cs typeface="+mn-cs"/>
            </a:rPr>
            <a:t>reproduction</a:t>
          </a:r>
          <a:r>
            <a:rPr lang="de-DE" sz="1100" b="1" baseline="0">
              <a:solidFill>
                <a:schemeClr val="tx1"/>
              </a:solidFill>
              <a:latin typeface="+mn-lt"/>
              <a:ea typeface="+mn-ea"/>
              <a:cs typeface="+mn-cs"/>
            </a:rPr>
            <a:t> </a:t>
          </a:r>
          <a:r>
            <a:rPr lang="de-DE" sz="1100">
              <a:solidFill>
                <a:schemeClr val="tx1"/>
              </a:solidFill>
              <a:latin typeface="+mn-lt"/>
              <a:ea typeface="+mn-ea"/>
              <a:cs typeface="+mn-cs"/>
            </a:rPr>
            <a:t>scale/lens</a:t>
          </a:r>
        </a:p>
      </xdr:txBody>
    </xdr:sp>
    <xdr:clientData/>
  </xdr:oneCellAnchor>
  <xdr:twoCellAnchor editAs="oneCell">
    <xdr:from>
      <xdr:col>9</xdr:col>
      <xdr:colOff>85395</xdr:colOff>
      <xdr:row>2</xdr:row>
      <xdr:rowOff>56797</xdr:rowOff>
    </xdr:from>
    <xdr:to>
      <xdr:col>13</xdr:col>
      <xdr:colOff>518948</xdr:colOff>
      <xdr:row>20</xdr:row>
      <xdr:rowOff>66282</xdr:rowOff>
    </xdr:to>
    <xdr:pic>
      <xdr:nvPicPr>
        <xdr:cNvPr id="165" name="Grafik 164"/>
        <xdr:cNvPicPr>
          <a:picLocks noChangeAspect="1"/>
        </xdr:cNvPicPr>
      </xdr:nvPicPr>
      <xdr:blipFill>
        <a:blip xmlns:r="http://schemas.openxmlformats.org/officeDocument/2006/relationships" r:embed="rId4"/>
        <a:stretch>
          <a:fillRect/>
        </a:stretch>
      </xdr:blipFill>
      <xdr:spPr>
        <a:xfrm>
          <a:off x="5839809" y="496918"/>
          <a:ext cx="4493174" cy="2949601"/>
        </a:xfrm>
        <a:prstGeom prst="rect">
          <a:avLst/>
        </a:prstGeom>
      </xdr:spPr>
    </xdr:pic>
    <xdr:clientData/>
  </xdr:twoCellAnchor>
  <xdr:twoCellAnchor>
    <xdr:from>
      <xdr:col>11</xdr:col>
      <xdr:colOff>820614</xdr:colOff>
      <xdr:row>27</xdr:row>
      <xdr:rowOff>161875</xdr:rowOff>
    </xdr:from>
    <xdr:to>
      <xdr:col>13</xdr:col>
      <xdr:colOff>21967</xdr:colOff>
      <xdr:row>27</xdr:row>
      <xdr:rowOff>161875</xdr:rowOff>
    </xdr:to>
    <xdr:cxnSp macro="">
      <xdr:nvCxnSpPr>
        <xdr:cNvPr id="1053" name="Gerade Verbindung 1052"/>
        <xdr:cNvCxnSpPr/>
      </xdr:nvCxnSpPr>
      <xdr:spPr>
        <a:xfrm>
          <a:off x="8315804" y="4655047"/>
          <a:ext cx="751629" cy="0"/>
        </a:xfrm>
        <a:prstGeom prst="line">
          <a:avLst/>
        </a:prstGeom>
        <a:ln>
          <a:solidFill>
            <a:srgbClr val="FF0000"/>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109405</xdr:colOff>
      <xdr:row>26</xdr:row>
      <xdr:rowOff>18402</xdr:rowOff>
    </xdr:from>
    <xdr:to>
      <xdr:col>14</xdr:col>
      <xdr:colOff>109405</xdr:colOff>
      <xdr:row>29</xdr:row>
      <xdr:rowOff>13533</xdr:rowOff>
    </xdr:to>
    <xdr:cxnSp macro="">
      <xdr:nvCxnSpPr>
        <xdr:cNvPr id="206" name="Gerade Verbindung 205"/>
        <xdr:cNvCxnSpPr/>
      </xdr:nvCxnSpPr>
      <xdr:spPr>
        <a:xfrm flipV="1">
          <a:off x="10028543" y="4347350"/>
          <a:ext cx="0" cy="487804"/>
        </a:xfrm>
        <a:prstGeom prst="line">
          <a:avLst/>
        </a:prstGeom>
        <a:ln>
          <a:solidFill>
            <a:srgbClr val="FF0000"/>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1235773</xdr:colOff>
      <xdr:row>28</xdr:row>
      <xdr:rowOff>77792</xdr:rowOff>
    </xdr:from>
    <xdr:to>
      <xdr:col>11</xdr:col>
      <xdr:colOff>161229</xdr:colOff>
      <xdr:row>28</xdr:row>
      <xdr:rowOff>77792</xdr:rowOff>
    </xdr:to>
    <xdr:cxnSp macro="">
      <xdr:nvCxnSpPr>
        <xdr:cNvPr id="83" name="Gerade Verbindung 82"/>
        <xdr:cNvCxnSpPr/>
      </xdr:nvCxnSpPr>
      <xdr:spPr>
        <a:xfrm>
          <a:off x="6904790" y="4735189"/>
          <a:ext cx="751629" cy="0"/>
        </a:xfrm>
        <a:prstGeom prst="line">
          <a:avLst/>
        </a:prstGeom>
        <a:ln>
          <a:solidFill>
            <a:srgbClr val="FF0000"/>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478582</xdr:colOff>
      <xdr:row>26</xdr:row>
      <xdr:rowOff>19716</xdr:rowOff>
    </xdr:from>
    <xdr:to>
      <xdr:col>10</xdr:col>
      <xdr:colOff>478582</xdr:colOff>
      <xdr:row>29</xdr:row>
      <xdr:rowOff>14847</xdr:rowOff>
    </xdr:to>
    <xdr:cxnSp macro="">
      <xdr:nvCxnSpPr>
        <xdr:cNvPr id="84" name="Gerade Verbindung 83"/>
        <xdr:cNvCxnSpPr/>
      </xdr:nvCxnSpPr>
      <xdr:spPr>
        <a:xfrm flipV="1">
          <a:off x="7481099" y="4348664"/>
          <a:ext cx="0" cy="487804"/>
        </a:xfrm>
        <a:prstGeom prst="line">
          <a:avLst/>
        </a:prstGeom>
        <a:ln>
          <a:solidFill>
            <a:srgbClr val="FF0000"/>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42085</xdr:colOff>
      <xdr:row>28</xdr:row>
      <xdr:rowOff>47670</xdr:rowOff>
    </xdr:from>
    <xdr:to>
      <xdr:col>3</xdr:col>
      <xdr:colOff>361293</xdr:colOff>
      <xdr:row>29</xdr:row>
      <xdr:rowOff>98534</xdr:rowOff>
    </xdr:to>
    <xdr:sp macro="" textlink="">
      <xdr:nvSpPr>
        <xdr:cNvPr id="67" name="Rechteck 66"/>
        <xdr:cNvSpPr/>
      </xdr:nvSpPr>
      <xdr:spPr>
        <a:xfrm>
          <a:off x="1224499" y="4737911"/>
          <a:ext cx="319208" cy="215089"/>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575485</xdr:colOff>
      <xdr:row>27</xdr:row>
      <xdr:rowOff>127811</xdr:rowOff>
    </xdr:from>
    <xdr:to>
      <xdr:col>4</xdr:col>
      <xdr:colOff>67004</xdr:colOff>
      <xdr:row>28</xdr:row>
      <xdr:rowOff>52552</xdr:rowOff>
    </xdr:to>
    <xdr:sp macro="" textlink="">
      <xdr:nvSpPr>
        <xdr:cNvPr id="68" name="Rechteck 67"/>
        <xdr:cNvSpPr/>
      </xdr:nvSpPr>
      <xdr:spPr>
        <a:xfrm>
          <a:off x="1757899" y="4653828"/>
          <a:ext cx="398036" cy="88965"/>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622782</xdr:colOff>
      <xdr:row>28</xdr:row>
      <xdr:rowOff>50297</xdr:rowOff>
    </xdr:from>
    <xdr:to>
      <xdr:col>4</xdr:col>
      <xdr:colOff>26276</xdr:colOff>
      <xdr:row>30</xdr:row>
      <xdr:rowOff>26275</xdr:rowOff>
    </xdr:to>
    <xdr:sp macro="" textlink="">
      <xdr:nvSpPr>
        <xdr:cNvPr id="69" name="Rechteck 68"/>
        <xdr:cNvSpPr/>
      </xdr:nvSpPr>
      <xdr:spPr>
        <a:xfrm>
          <a:off x="1805196" y="4740538"/>
          <a:ext cx="310011" cy="304427"/>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2</xdr:col>
      <xdr:colOff>990644</xdr:colOff>
      <xdr:row>27</xdr:row>
      <xdr:rowOff>122556</xdr:rowOff>
    </xdr:from>
    <xdr:to>
      <xdr:col>3</xdr:col>
      <xdr:colOff>396766</xdr:colOff>
      <xdr:row>28</xdr:row>
      <xdr:rowOff>47297</xdr:rowOff>
    </xdr:to>
    <xdr:sp macro="" textlink="">
      <xdr:nvSpPr>
        <xdr:cNvPr id="74" name="Rechteck 73"/>
        <xdr:cNvSpPr/>
      </xdr:nvSpPr>
      <xdr:spPr>
        <a:xfrm>
          <a:off x="1181144" y="4648573"/>
          <a:ext cx="398036" cy="88965"/>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390525</xdr:colOff>
          <xdr:row>3</xdr:row>
          <xdr:rowOff>123825</xdr:rowOff>
        </xdr:from>
        <xdr:to>
          <xdr:col>8</xdr:col>
          <xdr:colOff>47625</xdr:colOff>
          <xdr:row>5</xdr:row>
          <xdr:rowOff>19050</xdr:rowOff>
        </xdr:to>
        <xdr:sp macro="" textlink="">
          <xdr:nvSpPr>
            <xdr:cNvPr id="9217" name="Option Button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1.1     even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7</xdr:row>
          <xdr:rowOff>66675</xdr:rowOff>
        </xdr:from>
        <xdr:to>
          <xdr:col>8</xdr:col>
          <xdr:colOff>314325</xdr:colOff>
          <xdr:row>8</xdr:row>
          <xdr:rowOff>152400</xdr:rowOff>
        </xdr:to>
        <xdr:sp macro="" textlink="">
          <xdr:nvSpPr>
            <xdr:cNvPr id="9218" name="Option Button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1.2     uneven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xdr:row>
          <xdr:rowOff>28575</xdr:rowOff>
        </xdr:from>
        <xdr:to>
          <xdr:col>6</xdr:col>
          <xdr:colOff>219075</xdr:colOff>
          <xdr:row>24</xdr:row>
          <xdr:rowOff>152400</xdr:rowOff>
        </xdr:to>
        <xdr:sp macro="" textlink="">
          <xdr:nvSpPr>
            <xdr:cNvPr id="9219" name="Group Box 3" hidden="1">
              <a:extLst>
                <a:ext uri="{63B3BB69-23CF-44E3-9099-C40C66FF867C}">
                  <a14:compatExt spid="_x0000_s92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de-DE" sz="800" b="0" i="0" u="none" strike="noStrike" baseline="0">
                  <a:solidFill>
                    <a:srgbClr val="000000"/>
                  </a:solidFill>
                  <a:latin typeface="Tahoma"/>
                  <a:ea typeface="Tahoma"/>
                  <a:cs typeface="Tahoma"/>
                </a:rPr>
                <a:t>Difference foreground &lt;=&gt; background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3</xdr:row>
          <xdr:rowOff>28575</xdr:rowOff>
        </xdr:from>
        <xdr:to>
          <xdr:col>10</xdr:col>
          <xdr:colOff>790575</xdr:colOff>
          <xdr:row>4</xdr:row>
          <xdr:rowOff>76200</xdr:rowOff>
        </xdr:to>
        <xdr:sp macro="" textlink="">
          <xdr:nvSpPr>
            <xdr:cNvPr id="9220" name="Option Button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1.1.1     reflective (and even)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xdr:row>
          <xdr:rowOff>38100</xdr:rowOff>
        </xdr:from>
        <xdr:to>
          <xdr:col>10</xdr:col>
          <xdr:colOff>819150</xdr:colOff>
          <xdr:row>8</xdr:row>
          <xdr:rowOff>333375</xdr:rowOff>
        </xdr:to>
        <xdr:sp macro="" textlink="">
          <xdr:nvSpPr>
            <xdr:cNvPr id="9221" name="Group Box 5" hidden="1">
              <a:extLst>
                <a:ext uri="{63B3BB69-23CF-44E3-9099-C40C66FF867C}">
                  <a14:compatExt spid="_x0000_s922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de-DE" sz="800" b="0" i="0" u="none" strike="noStrike" baseline="0">
                  <a:solidFill>
                    <a:srgbClr val="000000"/>
                  </a:solidFill>
                  <a:latin typeface="Tahoma"/>
                  <a:ea typeface="Tahoma"/>
                  <a:cs typeface="Tahoma"/>
                </a:rPr>
                <a:t>Reflective or matt</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323850</xdr:colOff>
          <xdr:row>8</xdr:row>
          <xdr:rowOff>675409</xdr:rowOff>
        </xdr:from>
        <xdr:to>
          <xdr:col>8</xdr:col>
          <xdr:colOff>523875</xdr:colOff>
          <xdr:row>14</xdr:row>
          <xdr:rowOff>147204</xdr:rowOff>
        </xdr:to>
        <xdr:grpSp>
          <xdr:nvGrpSpPr>
            <xdr:cNvPr id="7" name="Gruppieren 6"/>
            <xdr:cNvGrpSpPr/>
          </xdr:nvGrpSpPr>
          <xdr:grpSpPr>
            <a:xfrm>
              <a:off x="4382965" y="2045549"/>
              <a:ext cx="1724025" cy="1208276"/>
              <a:chOff x="4298373" y="2624580"/>
              <a:chExt cx="1724025" cy="705716"/>
            </a:xfrm>
          </xdr:grpSpPr>
          <xdr:sp macro="" textlink="">
            <xdr:nvSpPr>
              <xdr:cNvPr id="9222" name="Option Button 6" hidden="1">
                <a:extLst>
                  <a:ext uri="{63B3BB69-23CF-44E3-9099-C40C66FF867C}">
                    <a14:compatExt spid="_x0000_s9222"/>
                  </a:ext>
                </a:extLst>
              </xdr:cNvPr>
              <xdr:cNvSpPr/>
            </xdr:nvSpPr>
            <xdr:spPr bwMode="auto">
              <a:xfrm>
                <a:off x="4384098" y="2669296"/>
                <a:ext cx="1590675" cy="13290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2.1     Detection only</a:t>
                </a:r>
              </a:p>
            </xdr:txBody>
          </xdr:sp>
          <xdr:sp macro="" textlink="">
            <xdr:nvSpPr>
              <xdr:cNvPr id="9223" name="Option Button 7" hidden="1">
                <a:extLst>
                  <a:ext uri="{63B3BB69-23CF-44E3-9099-C40C66FF867C}">
                    <a14:compatExt spid="_x0000_s9223"/>
                  </a:ext>
                </a:extLst>
              </xdr:cNvPr>
              <xdr:cNvSpPr/>
            </xdr:nvSpPr>
            <xdr:spPr bwMode="auto">
              <a:xfrm>
                <a:off x="4384098" y="2977427"/>
                <a:ext cx="1571625" cy="12489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2.2     Precise "measurement"</a:t>
                </a:r>
              </a:p>
            </xdr:txBody>
          </xdr:sp>
          <xdr:sp macro="" textlink="">
            <xdr:nvSpPr>
              <xdr:cNvPr id="9225" name="Group Box 9" hidden="1">
                <a:extLst>
                  <a:ext uri="{63B3BB69-23CF-44E3-9099-C40C66FF867C}">
                    <a14:compatExt spid="_x0000_s9225"/>
                  </a:ext>
                </a:extLst>
              </xdr:cNvPr>
              <xdr:cNvSpPr/>
            </xdr:nvSpPr>
            <xdr:spPr bwMode="auto">
              <a:xfrm>
                <a:off x="4298373" y="2624580"/>
                <a:ext cx="1724025" cy="705716"/>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de-DE" sz="800" b="0" i="0" u="none" strike="noStrike" baseline="0">
                    <a:solidFill>
                      <a:srgbClr val="000000"/>
                    </a:solidFill>
                    <a:latin typeface="Tahoma"/>
                    <a:ea typeface="Tahoma"/>
                    <a:cs typeface="Tahoma"/>
                  </a:rPr>
                  <a:t>Accuracy</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733425</xdr:colOff>
          <xdr:row>17</xdr:row>
          <xdr:rowOff>123825</xdr:rowOff>
        </xdr:from>
        <xdr:to>
          <xdr:col>10</xdr:col>
          <xdr:colOff>790575</xdr:colOff>
          <xdr:row>19</xdr:row>
          <xdr:rowOff>0</xdr:rowOff>
        </xdr:to>
        <xdr:sp macro="" textlink="">
          <xdr:nvSpPr>
            <xdr:cNvPr id="9228" name="Option Button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3.2.1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733425</xdr:colOff>
          <xdr:row>19</xdr:row>
          <xdr:rowOff>9525</xdr:rowOff>
        </xdr:from>
        <xdr:to>
          <xdr:col>10</xdr:col>
          <xdr:colOff>371475</xdr:colOff>
          <xdr:row>20</xdr:row>
          <xdr:rowOff>66675</xdr:rowOff>
        </xdr:to>
        <xdr:sp macro="" textlink="">
          <xdr:nvSpPr>
            <xdr:cNvPr id="9229" name="Option Button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3.2.2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628650</xdr:colOff>
          <xdr:row>17</xdr:row>
          <xdr:rowOff>66675</xdr:rowOff>
        </xdr:from>
        <xdr:to>
          <xdr:col>11</xdr:col>
          <xdr:colOff>0</xdr:colOff>
          <xdr:row>20</xdr:row>
          <xdr:rowOff>123825</xdr:rowOff>
        </xdr:to>
        <xdr:sp macro="" textlink="">
          <xdr:nvSpPr>
            <xdr:cNvPr id="9230" name="Group Box 14" hidden="1">
              <a:extLst>
                <a:ext uri="{63B3BB69-23CF-44E3-9099-C40C66FF867C}">
                  <a14:compatExt spid="_x0000_s923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de-DE" sz="800" b="0" i="0" u="none" strike="noStrike" baseline="0">
                  <a:solidFill>
                    <a:srgbClr val="000000"/>
                  </a:solidFill>
                  <a:latin typeface="Tahoma"/>
                  <a:ea typeface="Tahoma"/>
                  <a:cs typeface="Tahoma"/>
                </a:rPr>
                <a:t>Detection of scratches or similar?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324716</xdr:colOff>
          <xdr:row>15</xdr:row>
          <xdr:rowOff>152856</xdr:rowOff>
        </xdr:from>
        <xdr:to>
          <xdr:col>8</xdr:col>
          <xdr:colOff>524741</xdr:colOff>
          <xdr:row>20</xdr:row>
          <xdr:rowOff>53877</xdr:rowOff>
        </xdr:to>
        <xdr:grpSp>
          <xdr:nvGrpSpPr>
            <xdr:cNvPr id="9" name="Gruppieren 8"/>
            <xdr:cNvGrpSpPr/>
          </xdr:nvGrpSpPr>
          <xdr:grpSpPr>
            <a:xfrm>
              <a:off x="4383831" y="3420660"/>
              <a:ext cx="1724025" cy="706982"/>
              <a:chOff x="4307898" y="3861882"/>
              <a:chExt cx="1724025" cy="724766"/>
            </a:xfrm>
          </xdr:grpSpPr>
          <xdr:sp macro="" textlink="">
            <xdr:nvSpPr>
              <xdr:cNvPr id="9227" name="Option Button 11" hidden="1">
                <a:extLst>
                  <a:ext uri="{63B3BB69-23CF-44E3-9099-C40C66FF867C}">
                    <a14:compatExt spid="_x0000_s9227"/>
                  </a:ext>
                </a:extLst>
              </xdr:cNvPr>
              <xdr:cNvSpPr/>
            </xdr:nvSpPr>
            <xdr:spPr bwMode="auto">
              <a:xfrm>
                <a:off x="4403148" y="3997902"/>
                <a:ext cx="790575" cy="2216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3.1     yes</a:t>
                </a:r>
              </a:p>
            </xdr:txBody>
          </xdr:sp>
          <xdr:sp macro="" textlink="">
            <xdr:nvSpPr>
              <xdr:cNvPr id="9231" name="Group Box 15" hidden="1">
                <a:extLst>
                  <a:ext uri="{63B3BB69-23CF-44E3-9099-C40C66FF867C}">
                    <a14:compatExt spid="_x0000_s9231"/>
                  </a:ext>
                </a:extLst>
              </xdr:cNvPr>
              <xdr:cNvSpPr/>
            </xdr:nvSpPr>
            <xdr:spPr bwMode="auto">
              <a:xfrm>
                <a:off x="4307898" y="3861882"/>
                <a:ext cx="1724025" cy="724766"/>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de-DE" sz="800" b="0" i="0" u="none" strike="noStrike" baseline="0">
                    <a:solidFill>
                      <a:srgbClr val="000000"/>
                    </a:solidFill>
                    <a:latin typeface="Tahoma"/>
                    <a:ea typeface="Tahoma"/>
                    <a:cs typeface="Tahoma"/>
                  </a:rPr>
                  <a:t>Backlight usage possible</a:t>
                </a:r>
              </a:p>
            </xdr:txBody>
          </xdr:sp>
          <xdr:sp macro="" textlink="">
            <xdr:nvSpPr>
              <xdr:cNvPr id="9232" name="Option Button 16" hidden="1">
                <a:extLst>
                  <a:ext uri="{63B3BB69-23CF-44E3-9099-C40C66FF867C}">
                    <a14:compatExt spid="_x0000_s9232"/>
                  </a:ext>
                </a:extLst>
              </xdr:cNvPr>
              <xdr:cNvSpPr/>
            </xdr:nvSpPr>
            <xdr:spPr bwMode="auto">
              <a:xfrm>
                <a:off x="4403148" y="4269798"/>
                <a:ext cx="771525" cy="2121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3.2     no</a:t>
                </a:r>
              </a:p>
            </xdr:txBody>
          </xdr:sp>
        </xdr:grpSp>
        <xdr:clientData/>
      </xdr:twoCellAnchor>
    </mc:Choice>
    <mc:Fallback/>
  </mc:AlternateContent>
  <xdr:twoCellAnchor>
    <xdr:from>
      <xdr:col>2</xdr:col>
      <xdr:colOff>223795</xdr:colOff>
      <xdr:row>4</xdr:row>
      <xdr:rowOff>150429</xdr:rowOff>
    </xdr:from>
    <xdr:to>
      <xdr:col>5</xdr:col>
      <xdr:colOff>451206</xdr:colOff>
      <xdr:row>7</xdr:row>
      <xdr:rowOff>149238</xdr:rowOff>
    </xdr:to>
    <xdr:sp macro="" textlink="">
      <xdr:nvSpPr>
        <xdr:cNvPr id="18" name="Textfeld 17"/>
        <xdr:cNvSpPr txBox="1"/>
      </xdr:nvSpPr>
      <xdr:spPr>
        <a:xfrm>
          <a:off x="985795" y="798129"/>
          <a:ext cx="2513411" cy="484584"/>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1" i="1"/>
            <a:t>Examples:</a:t>
          </a:r>
        </a:p>
        <a:p>
          <a:r>
            <a:rPr lang="de-DE" sz="800" i="1"/>
            <a:t>-</a:t>
          </a:r>
          <a:r>
            <a:rPr lang="de-DE" sz="800" i="1" baseline="0"/>
            <a:t> </a:t>
          </a:r>
          <a:r>
            <a:rPr lang="de-DE" sz="800" i="1"/>
            <a:t>Reading of printed text and code</a:t>
          </a:r>
        </a:p>
        <a:p>
          <a:r>
            <a:rPr lang="de-DE" sz="800" i="1"/>
            <a:t>- Imprint check </a:t>
          </a:r>
        </a:p>
      </xdr:txBody>
    </xdr:sp>
    <xdr:clientData/>
  </xdr:twoCellAnchor>
  <xdr:twoCellAnchor>
    <xdr:from>
      <xdr:col>2</xdr:col>
      <xdr:colOff>201217</xdr:colOff>
      <xdr:row>11</xdr:row>
      <xdr:rowOff>33419</xdr:rowOff>
    </xdr:from>
    <xdr:to>
      <xdr:col>5</xdr:col>
      <xdr:colOff>464345</xdr:colOff>
      <xdr:row>15</xdr:row>
      <xdr:rowOff>22786</xdr:rowOff>
    </xdr:to>
    <xdr:sp macro="" textlink="">
      <xdr:nvSpPr>
        <xdr:cNvPr id="19" name="Textfeld 18"/>
        <xdr:cNvSpPr txBox="1"/>
      </xdr:nvSpPr>
      <xdr:spPr>
        <a:xfrm>
          <a:off x="963217" y="1814594"/>
          <a:ext cx="2549128" cy="637067"/>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de-DE" sz="800" b="1" i="1">
              <a:solidFill>
                <a:schemeClr val="dk1"/>
              </a:solidFill>
              <a:latin typeface="+mn-lt"/>
              <a:ea typeface="+mn-ea"/>
              <a:cs typeface="+mn-cs"/>
            </a:rPr>
            <a:t>Examples:</a:t>
          </a:r>
        </a:p>
        <a:p>
          <a:pPr marL="0" indent="0"/>
          <a:r>
            <a:rPr lang="de-DE" sz="800" b="0" i="1">
              <a:solidFill>
                <a:schemeClr val="dk1"/>
              </a:solidFill>
              <a:latin typeface="+mn-lt"/>
              <a:ea typeface="+mn-ea"/>
              <a:cs typeface="+mn-cs"/>
            </a:rPr>
            <a:t>- Inspection of glossy foil on matt ground</a:t>
          </a:r>
        </a:p>
        <a:p>
          <a:pPr marL="0" indent="0"/>
          <a:r>
            <a:rPr lang="de-DE" sz="800" b="0" i="1">
              <a:solidFill>
                <a:schemeClr val="dk1"/>
              </a:solidFill>
              <a:latin typeface="+mn-lt"/>
              <a:ea typeface="+mn-ea"/>
              <a:cs typeface="+mn-cs"/>
            </a:rPr>
            <a:t>- Check of conductive trace / pad</a:t>
          </a:r>
        </a:p>
        <a:p>
          <a:pPr marL="0" indent="0"/>
          <a:r>
            <a:rPr lang="de-DE" sz="800" b="0" i="1">
              <a:solidFill>
                <a:schemeClr val="dk1"/>
              </a:solidFill>
              <a:latin typeface="+mn-lt"/>
              <a:ea typeface="+mn-ea"/>
              <a:cs typeface="+mn-cs"/>
            </a:rPr>
            <a:t>- Detection of black areas on metal</a:t>
          </a:r>
        </a:p>
      </xdr:txBody>
    </xdr:sp>
    <xdr:clientData/>
  </xdr:twoCellAnchor>
  <xdr:twoCellAnchor>
    <xdr:from>
      <xdr:col>2</xdr:col>
      <xdr:colOff>190500</xdr:colOff>
      <xdr:row>18</xdr:row>
      <xdr:rowOff>17170</xdr:rowOff>
    </xdr:from>
    <xdr:to>
      <xdr:col>5</xdr:col>
      <xdr:colOff>458390</xdr:colOff>
      <xdr:row>23</xdr:row>
      <xdr:rowOff>155864</xdr:rowOff>
    </xdr:to>
    <xdr:sp macro="" textlink="">
      <xdr:nvSpPr>
        <xdr:cNvPr id="20" name="Textfeld 19"/>
        <xdr:cNvSpPr txBox="1"/>
      </xdr:nvSpPr>
      <xdr:spPr>
        <a:xfrm>
          <a:off x="952500" y="3013215"/>
          <a:ext cx="2008367" cy="96130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de-DE" sz="800" b="1" i="1">
              <a:solidFill>
                <a:schemeClr val="dk1"/>
              </a:solidFill>
              <a:latin typeface="+mn-lt"/>
              <a:ea typeface="+mn-ea"/>
              <a:cs typeface="+mn-cs"/>
            </a:rPr>
            <a:t>Examples:</a:t>
          </a:r>
        </a:p>
        <a:p>
          <a:pPr marL="0" indent="0"/>
          <a:r>
            <a:rPr lang="de-DE" sz="800" b="0" i="1">
              <a:solidFill>
                <a:schemeClr val="dk1"/>
              </a:solidFill>
              <a:latin typeface="+mn-lt"/>
              <a:ea typeface="+mn-ea"/>
              <a:cs typeface="+mn-cs"/>
            </a:rPr>
            <a:t>- Reading of needled codes</a:t>
          </a:r>
        </a:p>
        <a:p>
          <a:pPr marL="0" indent="0"/>
          <a:r>
            <a:rPr lang="de-DE" sz="800" b="0" i="1">
              <a:solidFill>
                <a:schemeClr val="dk1"/>
              </a:solidFill>
              <a:latin typeface="+mn-lt"/>
              <a:ea typeface="+mn-ea"/>
              <a:cs typeface="+mn-cs"/>
            </a:rPr>
            <a:t>- Detection of scratches</a:t>
          </a:r>
        </a:p>
        <a:p>
          <a:pPr marL="0" indent="0"/>
          <a:r>
            <a:rPr lang="de-DE" sz="800" b="0" i="1">
              <a:solidFill>
                <a:schemeClr val="dk1"/>
              </a:solidFill>
              <a:latin typeface="+mn-lt"/>
              <a:ea typeface="+mn-ea"/>
              <a:cs typeface="+mn-cs"/>
            </a:rPr>
            <a:t>- Dimensional check of objects</a:t>
          </a:r>
        </a:p>
        <a:p>
          <a:pPr marL="0" indent="0"/>
          <a:r>
            <a:rPr lang="de-DE" sz="800" b="0" i="1">
              <a:solidFill>
                <a:schemeClr val="dk1"/>
              </a:solidFill>
              <a:latin typeface="+mn-lt"/>
              <a:ea typeface="+mn-ea"/>
              <a:cs typeface="+mn-cs"/>
            </a:rPr>
            <a:t>- Detection of deformation</a:t>
          </a:r>
        </a:p>
        <a:p>
          <a:pPr marL="0" indent="0"/>
          <a:r>
            <a:rPr lang="de-DE" sz="800" b="0" i="1">
              <a:solidFill>
                <a:schemeClr val="dk1"/>
              </a:solidFill>
              <a:latin typeface="+mn-lt"/>
              <a:ea typeface="+mn-ea"/>
              <a:cs typeface="+mn-cs"/>
            </a:rPr>
            <a:t>- Assembly check</a:t>
          </a:r>
        </a:p>
        <a:p>
          <a:pPr marL="0" indent="0"/>
          <a:r>
            <a:rPr lang="de-DE" sz="800" b="0" i="1">
              <a:solidFill>
                <a:schemeClr val="dk1"/>
              </a:solidFill>
              <a:latin typeface="+mn-lt"/>
              <a:ea typeface="+mn-ea"/>
              <a:cs typeface="+mn-cs"/>
            </a:rPr>
            <a:t>- Filling level</a:t>
          </a:r>
        </a:p>
      </xdr:txBody>
    </xdr:sp>
    <xdr:clientData/>
  </xdr:twoCellAnchor>
  <mc:AlternateContent xmlns:mc="http://schemas.openxmlformats.org/markup-compatibility/2006">
    <mc:Choice xmlns:a14="http://schemas.microsoft.com/office/drawing/2010/main" Requires="a14">
      <xdr:twoCellAnchor editAs="oneCell">
        <xdr:from>
          <xdr:col>6</xdr:col>
          <xdr:colOff>323850</xdr:colOff>
          <xdr:row>2</xdr:row>
          <xdr:rowOff>28575</xdr:rowOff>
        </xdr:from>
        <xdr:to>
          <xdr:col>8</xdr:col>
          <xdr:colOff>523875</xdr:colOff>
          <xdr:row>8</xdr:row>
          <xdr:rowOff>428625</xdr:rowOff>
        </xdr:to>
        <xdr:sp macro="" textlink="">
          <xdr:nvSpPr>
            <xdr:cNvPr id="9233" name="Group Box 17" hidden="1">
              <a:extLst>
                <a:ext uri="{63B3BB69-23CF-44E3-9099-C40C66FF867C}">
                  <a14:compatExt spid="_x0000_s923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de-DE" sz="800" b="0" i="0" u="none" strike="noStrike" baseline="0">
                  <a:solidFill>
                    <a:srgbClr val="000000"/>
                  </a:solidFill>
                  <a:latin typeface="Tahoma"/>
                  <a:ea typeface="Tahoma"/>
                  <a:cs typeface="Tahoma"/>
                </a:rPr>
                <a:t>Surface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6</xdr:row>
          <xdr:rowOff>114300</xdr:rowOff>
        </xdr:from>
        <xdr:to>
          <xdr:col>10</xdr:col>
          <xdr:colOff>609600</xdr:colOff>
          <xdr:row>8</xdr:row>
          <xdr:rowOff>9525</xdr:rowOff>
        </xdr:to>
        <xdr:sp macro="" textlink="">
          <xdr:nvSpPr>
            <xdr:cNvPr id="9234" name="Option Button 18" hidden="1">
              <a:extLst>
                <a:ext uri="{63B3BB69-23CF-44E3-9099-C40C66FF867C}">
                  <a14:compatExt spid="_x0000_s9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1.1.2     matt (and even)</a:t>
              </a:r>
            </a:p>
          </xdr:txBody>
        </xdr:sp>
        <xdr:clientData/>
      </xdr:twoCellAnchor>
    </mc:Choice>
    <mc:Fallback/>
  </mc:AlternateContent>
  <xdr:twoCellAnchor>
    <xdr:from>
      <xdr:col>7</xdr:col>
      <xdr:colOff>420414</xdr:colOff>
      <xdr:row>4</xdr:row>
      <xdr:rowOff>72258</xdr:rowOff>
    </xdr:from>
    <xdr:to>
      <xdr:col>8</xdr:col>
      <xdr:colOff>599816</xdr:colOff>
      <xdr:row>4</xdr:row>
      <xdr:rowOff>72258</xdr:rowOff>
    </xdr:to>
    <xdr:cxnSp macro="">
      <xdr:nvCxnSpPr>
        <xdr:cNvPr id="23" name="Gerade Verbindung 22"/>
        <xdr:cNvCxnSpPr/>
      </xdr:nvCxnSpPr>
      <xdr:spPr>
        <a:xfrm>
          <a:off x="4992414" y="719958"/>
          <a:ext cx="941402"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369242</xdr:colOff>
      <xdr:row>18</xdr:row>
      <xdr:rowOff>162266</xdr:rowOff>
    </xdr:from>
    <xdr:to>
      <xdr:col>8</xdr:col>
      <xdr:colOff>630985</xdr:colOff>
      <xdr:row>18</xdr:row>
      <xdr:rowOff>162266</xdr:rowOff>
    </xdr:to>
    <xdr:cxnSp macro="">
      <xdr:nvCxnSpPr>
        <xdr:cNvPr id="28" name="Gerade Verbindung 27"/>
        <xdr:cNvCxnSpPr/>
      </xdr:nvCxnSpPr>
      <xdr:spPr>
        <a:xfrm>
          <a:off x="5106894" y="3947418"/>
          <a:ext cx="1023743"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144217</xdr:colOff>
      <xdr:row>8</xdr:row>
      <xdr:rowOff>865909</xdr:rowOff>
    </xdr:from>
    <xdr:to>
      <xdr:col>8</xdr:col>
      <xdr:colOff>623454</xdr:colOff>
      <xdr:row>8</xdr:row>
      <xdr:rowOff>865909</xdr:rowOff>
    </xdr:to>
    <xdr:cxnSp macro="">
      <xdr:nvCxnSpPr>
        <xdr:cNvPr id="29" name="Gerade Verbindung 28"/>
        <xdr:cNvCxnSpPr/>
      </xdr:nvCxnSpPr>
      <xdr:spPr>
        <a:xfrm flipV="1">
          <a:off x="5642740" y="2216727"/>
          <a:ext cx="479237"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536863</xdr:colOff>
      <xdr:row>5</xdr:row>
      <xdr:rowOff>40729</xdr:rowOff>
    </xdr:from>
    <xdr:to>
      <xdr:col>6</xdr:col>
      <xdr:colOff>325233</xdr:colOff>
      <xdr:row>5</xdr:row>
      <xdr:rowOff>40729</xdr:rowOff>
    </xdr:to>
    <xdr:cxnSp macro="">
      <xdr:nvCxnSpPr>
        <xdr:cNvPr id="30" name="Gerade Verbindung 29"/>
        <xdr:cNvCxnSpPr/>
      </xdr:nvCxnSpPr>
      <xdr:spPr>
        <a:xfrm flipV="1">
          <a:off x="3550227" y="897979"/>
          <a:ext cx="749529"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xdr:from>
          <xdr:col>8</xdr:col>
          <xdr:colOff>630382</xdr:colOff>
          <xdr:row>8</xdr:row>
          <xdr:rowOff>597477</xdr:rowOff>
        </xdr:from>
        <xdr:to>
          <xdr:col>11</xdr:col>
          <xdr:colOff>1732</xdr:colOff>
          <xdr:row>10</xdr:row>
          <xdr:rowOff>79663</xdr:rowOff>
        </xdr:to>
        <xdr:grpSp>
          <xdr:nvGrpSpPr>
            <xdr:cNvPr id="12" name="Gruppieren 11"/>
            <xdr:cNvGrpSpPr/>
          </xdr:nvGrpSpPr>
          <xdr:grpSpPr>
            <a:xfrm>
              <a:off x="6213500" y="1967609"/>
              <a:ext cx="1730620" cy="573897"/>
              <a:chOff x="7583686" y="2597738"/>
              <a:chExt cx="1735282" cy="581891"/>
            </a:xfrm>
          </xdr:grpSpPr>
          <xdr:sp macro="" textlink="">
            <xdr:nvSpPr>
              <xdr:cNvPr id="9224" name="Option Button 8" hidden="1">
                <a:extLst>
                  <a:ext uri="{63B3BB69-23CF-44E3-9099-C40C66FF867C}">
                    <a14:compatExt spid="_x0000_s9224"/>
                  </a:ext>
                </a:extLst>
              </xdr:cNvPr>
              <xdr:cNvSpPr/>
            </xdr:nvSpPr>
            <xdr:spPr bwMode="auto">
              <a:xfrm>
                <a:off x="7650307" y="2676524"/>
                <a:ext cx="1133475" cy="21214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2.1.1     yes</a:t>
                </a:r>
              </a:p>
            </xdr:txBody>
          </xdr:sp>
          <xdr:sp macro="" textlink="">
            <xdr:nvSpPr>
              <xdr:cNvPr id="9226" name="Group Box 10" hidden="1">
                <a:extLst>
                  <a:ext uri="{63B3BB69-23CF-44E3-9099-C40C66FF867C}">
                    <a14:compatExt spid="_x0000_s9226"/>
                  </a:ext>
                </a:extLst>
              </xdr:cNvPr>
              <xdr:cNvSpPr/>
            </xdr:nvSpPr>
            <xdr:spPr bwMode="auto">
              <a:xfrm>
                <a:off x="7583686" y="2597738"/>
                <a:ext cx="1735282" cy="581891"/>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de-DE" sz="800" b="0" i="0" u="none" strike="noStrike" baseline="0">
                    <a:solidFill>
                      <a:srgbClr val="000000"/>
                    </a:solidFill>
                    <a:latin typeface="Tahoma"/>
                    <a:ea typeface="Tahoma"/>
                    <a:cs typeface="Tahoma"/>
                  </a:rPr>
                  <a:t>Foreground or Background black?</a:t>
                </a:r>
              </a:p>
            </xdr:txBody>
          </xdr:sp>
          <xdr:sp macro="" textlink="">
            <xdr:nvSpPr>
              <xdr:cNvPr id="9235" name="Option Button 19" hidden="1">
                <a:extLst>
                  <a:ext uri="{63B3BB69-23CF-44E3-9099-C40C66FF867C}">
                    <a14:compatExt spid="_x0000_s9235"/>
                  </a:ext>
                </a:extLst>
              </xdr:cNvPr>
              <xdr:cNvSpPr/>
            </xdr:nvSpPr>
            <xdr:spPr bwMode="auto">
              <a:xfrm>
                <a:off x="7659832" y="2926772"/>
                <a:ext cx="1133475" cy="2216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2.1.2     no</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3</xdr:row>
          <xdr:rowOff>114300</xdr:rowOff>
        </xdr:from>
        <xdr:to>
          <xdr:col>5</xdr:col>
          <xdr:colOff>76200</xdr:colOff>
          <xdr:row>5</xdr:row>
          <xdr:rowOff>19050</xdr:rowOff>
        </xdr:to>
        <xdr:sp macro="" textlink="">
          <xdr:nvSpPr>
            <xdr:cNvPr id="9236" name="Option Button 20" hidden="1">
              <a:extLst>
                <a:ext uri="{63B3BB69-23CF-44E3-9099-C40C66FF867C}">
                  <a14:compatExt spid="_x0000_s9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1     BRIGHTNESS or COLOR (bright vs. dark / red vs. blue etc.)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9</xdr:row>
          <xdr:rowOff>95250</xdr:rowOff>
        </xdr:from>
        <xdr:to>
          <xdr:col>5</xdr:col>
          <xdr:colOff>57150</xdr:colOff>
          <xdr:row>11</xdr:row>
          <xdr:rowOff>123825</xdr:rowOff>
        </xdr:to>
        <xdr:sp macro="" textlink="">
          <xdr:nvSpPr>
            <xdr:cNvPr id="9237" name="Option Button 21" hidden="1">
              <a:extLst>
                <a:ext uri="{63B3BB69-23CF-44E3-9099-C40C66FF867C}">
                  <a14:compatExt spid="_x0000_s9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2     REFLECTION (polished versus matt finish)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16</xdr:row>
          <xdr:rowOff>133350</xdr:rowOff>
        </xdr:from>
        <xdr:to>
          <xdr:col>4</xdr:col>
          <xdr:colOff>533400</xdr:colOff>
          <xdr:row>18</xdr:row>
          <xdr:rowOff>95250</xdr:rowOff>
        </xdr:to>
        <xdr:sp macro="" textlink="">
          <xdr:nvSpPr>
            <xdr:cNvPr id="9238" name="Option Button 22" hidden="1">
              <a:extLst>
                <a:ext uri="{63B3BB69-23CF-44E3-9099-C40C66FF867C}">
                  <a14:compatExt spid="_x0000_s9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3     SHAPE (protruded versus grooved )</a:t>
              </a:r>
            </a:p>
          </xdr:txBody>
        </xdr:sp>
        <xdr:clientData/>
      </xdr:twoCellAnchor>
    </mc:Choice>
    <mc:Fallback/>
  </mc:AlternateContent>
  <xdr:twoCellAnchor>
    <xdr:from>
      <xdr:col>4</xdr:col>
      <xdr:colOff>264967</xdr:colOff>
      <xdr:row>10</xdr:row>
      <xdr:rowOff>103909</xdr:rowOff>
    </xdr:from>
    <xdr:to>
      <xdr:col>6</xdr:col>
      <xdr:colOff>320386</xdr:colOff>
      <xdr:row>10</xdr:row>
      <xdr:rowOff>106538</xdr:rowOff>
    </xdr:to>
    <xdr:cxnSp macro="">
      <xdr:nvCxnSpPr>
        <xdr:cNvPr id="48" name="Gerade Verbindung 47"/>
        <xdr:cNvCxnSpPr/>
      </xdr:nvCxnSpPr>
      <xdr:spPr>
        <a:xfrm flipV="1">
          <a:off x="2516331" y="2554432"/>
          <a:ext cx="1778578" cy="262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348095</xdr:colOff>
      <xdr:row>17</xdr:row>
      <xdr:rowOff>111733</xdr:rowOff>
    </xdr:from>
    <xdr:to>
      <xdr:col>6</xdr:col>
      <xdr:colOff>329045</xdr:colOff>
      <xdr:row>17</xdr:row>
      <xdr:rowOff>112568</xdr:rowOff>
    </xdr:to>
    <xdr:cxnSp macro="">
      <xdr:nvCxnSpPr>
        <xdr:cNvPr id="49" name="Gerade Verbindung 48"/>
        <xdr:cNvCxnSpPr/>
      </xdr:nvCxnSpPr>
      <xdr:spPr>
        <a:xfrm>
          <a:off x="2244436" y="3713915"/>
          <a:ext cx="2059132" cy="83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251114</xdr:colOff>
      <xdr:row>7</xdr:row>
      <xdr:rowOff>86593</xdr:rowOff>
    </xdr:from>
    <xdr:to>
      <xdr:col>1</xdr:col>
      <xdr:colOff>606137</xdr:colOff>
      <xdr:row>8</xdr:row>
      <xdr:rowOff>277093</xdr:rowOff>
    </xdr:to>
    <xdr:grpSp>
      <xdr:nvGrpSpPr>
        <xdr:cNvPr id="61" name="Gruppieren 60"/>
        <xdr:cNvGrpSpPr>
          <a:grpSpLocks noChangeAspect="1"/>
        </xdr:cNvGrpSpPr>
      </xdr:nvGrpSpPr>
      <xdr:grpSpPr>
        <a:xfrm>
          <a:off x="339037" y="1295535"/>
          <a:ext cx="355023" cy="351693"/>
          <a:chOff x="3419872" y="2636912"/>
          <a:chExt cx="648072" cy="648072"/>
        </a:xfrm>
      </xdr:grpSpPr>
      <xdr:sp macro="" textlink="">
        <xdr:nvSpPr>
          <xdr:cNvPr id="62" name="Rechtwinkliges Dreieck 61"/>
          <xdr:cNvSpPr/>
        </xdr:nvSpPr>
        <xdr:spPr>
          <a:xfrm rot="5400000">
            <a:off x="3406354" y="2650430"/>
            <a:ext cx="648072" cy="621036"/>
          </a:xfrm>
          <a:prstGeom prst="rtTriangle">
            <a:avLst/>
          </a:prstGeom>
          <a:solidFill>
            <a:schemeClr val="bg2"/>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63" name="Rechtwinkliges Dreieck 62"/>
          <xdr:cNvSpPr/>
        </xdr:nvSpPr>
        <xdr:spPr>
          <a:xfrm rot="16200000">
            <a:off x="3412828" y="2643956"/>
            <a:ext cx="648072" cy="633984"/>
          </a:xfrm>
          <a:prstGeom prst="r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64" name="Sonne 63"/>
          <xdr:cNvSpPr/>
        </xdr:nvSpPr>
        <xdr:spPr>
          <a:xfrm>
            <a:off x="3491880" y="2712727"/>
            <a:ext cx="504056" cy="454891"/>
          </a:xfrm>
          <a:prstGeom prst="sun">
            <a:avLst/>
          </a:prstGeom>
          <a:solidFill>
            <a:srgbClr val="FFFF00"/>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65" name="Rechteck 64"/>
          <xdr:cNvSpPr/>
        </xdr:nvSpPr>
        <xdr:spPr>
          <a:xfrm>
            <a:off x="3419872" y="2636912"/>
            <a:ext cx="648072" cy="648072"/>
          </a:xfrm>
          <a:prstGeom prst="rect">
            <a:avLst/>
          </a:prstGeom>
          <a:noFill/>
          <a:ln w="6350">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clientData/>
  </xdr:twoCellAnchor>
  <xdr:twoCellAnchor>
    <xdr:from>
      <xdr:col>1</xdr:col>
      <xdr:colOff>242456</xdr:colOff>
      <xdr:row>8</xdr:row>
      <xdr:rowOff>329046</xdr:rowOff>
    </xdr:from>
    <xdr:to>
      <xdr:col>1</xdr:col>
      <xdr:colOff>606136</xdr:colOff>
      <xdr:row>8</xdr:row>
      <xdr:rowOff>682139</xdr:rowOff>
    </xdr:to>
    <xdr:grpSp>
      <xdr:nvGrpSpPr>
        <xdr:cNvPr id="66" name="Gruppieren 65"/>
        <xdr:cNvGrpSpPr>
          <a:grpSpLocks noChangeAspect="1"/>
        </xdr:cNvGrpSpPr>
      </xdr:nvGrpSpPr>
      <xdr:grpSpPr>
        <a:xfrm>
          <a:off x="330379" y="1699181"/>
          <a:ext cx="363680" cy="353093"/>
          <a:chOff x="6463396" y="2628801"/>
          <a:chExt cx="633984" cy="615528"/>
        </a:xfrm>
      </xdr:grpSpPr>
      <xdr:sp macro="" textlink="">
        <xdr:nvSpPr>
          <xdr:cNvPr id="67" name="Rechtwinkliges Dreieck 66"/>
          <xdr:cNvSpPr/>
        </xdr:nvSpPr>
        <xdr:spPr>
          <a:xfrm rot="5400000">
            <a:off x="6479098" y="2626047"/>
            <a:ext cx="615528" cy="621036"/>
          </a:xfrm>
          <a:prstGeom prst="rtTriangle">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68" name="Rechtwinkliges Dreieck 67"/>
          <xdr:cNvSpPr/>
        </xdr:nvSpPr>
        <xdr:spPr>
          <a:xfrm rot="16200000">
            <a:off x="6472624" y="2619573"/>
            <a:ext cx="615528" cy="633984"/>
          </a:xfrm>
          <a:prstGeom prst="rtTriangle">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69" name="Ellipse 68"/>
          <xdr:cNvSpPr/>
        </xdr:nvSpPr>
        <xdr:spPr>
          <a:xfrm>
            <a:off x="6616660" y="2768736"/>
            <a:ext cx="353352" cy="335656"/>
          </a:xfrm>
          <a:prstGeom prst="ellipse">
            <a:avLst/>
          </a:prstGeom>
          <a:noFill/>
          <a:ln w="19050">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grpSp>
    <xdr:clientData/>
  </xdr:twoCellAnchor>
  <xdr:oneCellAnchor>
    <xdr:from>
      <xdr:col>1</xdr:col>
      <xdr:colOff>562841</xdr:colOff>
      <xdr:row>7</xdr:row>
      <xdr:rowOff>121228</xdr:rowOff>
    </xdr:from>
    <xdr:ext cx="2372894" cy="264560"/>
    <xdr:sp macro="" textlink="">
      <xdr:nvSpPr>
        <xdr:cNvPr id="8" name="Textfeld 7"/>
        <xdr:cNvSpPr txBox="1"/>
      </xdr:nvSpPr>
      <xdr:spPr>
        <a:xfrm>
          <a:off x="562841" y="1307523"/>
          <a:ext cx="237289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b="1" i="1"/>
            <a:t>Brightness</a:t>
          </a:r>
          <a:r>
            <a:rPr lang="de-DE" sz="1100" b="0" i="1" baseline="0"/>
            <a:t> =&gt; Take white Illumination</a:t>
          </a:r>
          <a:endParaRPr lang="de-DE" sz="1100" b="0" i="1"/>
        </a:p>
      </xdr:txBody>
    </xdr:sp>
    <xdr:clientData/>
  </xdr:oneCellAnchor>
  <xdr:oneCellAnchor>
    <xdr:from>
      <xdr:col>1</xdr:col>
      <xdr:colOff>545523</xdr:colOff>
      <xdr:row>8</xdr:row>
      <xdr:rowOff>372341</xdr:rowOff>
    </xdr:from>
    <xdr:ext cx="3229923" cy="264560"/>
    <xdr:sp macro="" textlink="">
      <xdr:nvSpPr>
        <xdr:cNvPr id="71" name="Textfeld 70"/>
        <xdr:cNvSpPr txBox="1"/>
      </xdr:nvSpPr>
      <xdr:spPr>
        <a:xfrm>
          <a:off x="545523" y="1723159"/>
          <a:ext cx="322992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b="1" i="1"/>
            <a:t>Color</a:t>
          </a:r>
          <a:r>
            <a:rPr lang="de-DE" sz="1100" b="0" i="1" baseline="0"/>
            <a:t> =&gt; Select Color with the IlluminationColorFinder</a:t>
          </a:r>
          <a:endParaRPr lang="de-DE" sz="1100" b="0" i="1"/>
        </a:p>
      </xdr:txBody>
    </xdr:sp>
    <xdr:clientData/>
  </xdr:oneCellAnchor>
  <xdr:twoCellAnchor>
    <xdr:from>
      <xdr:col>1</xdr:col>
      <xdr:colOff>259772</xdr:colOff>
      <xdr:row>11</xdr:row>
      <xdr:rowOff>95250</xdr:rowOff>
    </xdr:from>
    <xdr:to>
      <xdr:col>1</xdr:col>
      <xdr:colOff>991465</xdr:colOff>
      <xdr:row>13</xdr:row>
      <xdr:rowOff>103909</xdr:rowOff>
    </xdr:to>
    <xdr:grpSp>
      <xdr:nvGrpSpPr>
        <xdr:cNvPr id="72" name="Gruppieren 71"/>
        <xdr:cNvGrpSpPr>
          <a:grpSpLocks noChangeAspect="1"/>
        </xdr:cNvGrpSpPr>
      </xdr:nvGrpSpPr>
      <xdr:grpSpPr>
        <a:xfrm>
          <a:off x="347695" y="2718288"/>
          <a:ext cx="731693" cy="331044"/>
          <a:chOff x="1547664" y="5013176"/>
          <a:chExt cx="1872208" cy="864096"/>
        </a:xfrm>
      </xdr:grpSpPr>
      <xdr:cxnSp macro="">
        <xdr:nvCxnSpPr>
          <xdr:cNvPr id="73" name="Gerade Verbindung 72"/>
          <xdr:cNvCxnSpPr/>
        </xdr:nvCxnSpPr>
        <xdr:spPr>
          <a:xfrm>
            <a:off x="1547664" y="5877272"/>
            <a:ext cx="1872208"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74" name="Gerade Verbindung mit Pfeil 73"/>
          <xdr:cNvCxnSpPr/>
        </xdr:nvCxnSpPr>
        <xdr:spPr>
          <a:xfrm>
            <a:off x="1547664" y="5229200"/>
            <a:ext cx="216024" cy="648072"/>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75" name="Gerade Verbindung mit Pfeil 74"/>
          <xdr:cNvCxnSpPr/>
        </xdr:nvCxnSpPr>
        <xdr:spPr>
          <a:xfrm>
            <a:off x="1733439" y="5229200"/>
            <a:ext cx="216024" cy="648072"/>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76" name="Gerade Verbindung mit Pfeil 75"/>
          <xdr:cNvCxnSpPr/>
        </xdr:nvCxnSpPr>
        <xdr:spPr>
          <a:xfrm>
            <a:off x="1916088" y="5229200"/>
            <a:ext cx="216024" cy="648072"/>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77" name="Gerade Verbindung mit Pfeil 76"/>
          <xdr:cNvCxnSpPr/>
        </xdr:nvCxnSpPr>
        <xdr:spPr>
          <a:xfrm>
            <a:off x="2701890" y="5229200"/>
            <a:ext cx="216024" cy="648072"/>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78" name="Gerade Verbindung mit Pfeil 77"/>
          <xdr:cNvCxnSpPr/>
        </xdr:nvCxnSpPr>
        <xdr:spPr>
          <a:xfrm>
            <a:off x="2906715" y="5229200"/>
            <a:ext cx="216024" cy="648072"/>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79" name="Gerade Verbindung mit Pfeil 78"/>
          <xdr:cNvCxnSpPr/>
        </xdr:nvCxnSpPr>
        <xdr:spPr>
          <a:xfrm>
            <a:off x="2120913" y="5229200"/>
            <a:ext cx="216024" cy="648072"/>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0" name="Gerade Verbindung mit Pfeil 79"/>
          <xdr:cNvCxnSpPr/>
        </xdr:nvCxnSpPr>
        <xdr:spPr>
          <a:xfrm>
            <a:off x="2302113" y="5229200"/>
            <a:ext cx="216024" cy="648072"/>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1" name="Gerade Verbindung mit Pfeil 80"/>
          <xdr:cNvCxnSpPr/>
        </xdr:nvCxnSpPr>
        <xdr:spPr>
          <a:xfrm>
            <a:off x="2483768" y="5224214"/>
            <a:ext cx="216024" cy="648072"/>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2" name="Gerade Verbindung mit Pfeil 81"/>
          <xdr:cNvCxnSpPr/>
        </xdr:nvCxnSpPr>
        <xdr:spPr>
          <a:xfrm flipV="1">
            <a:off x="2269143" y="5013176"/>
            <a:ext cx="248994" cy="854846"/>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3" name="Gerade Verbindung mit Pfeil 82"/>
          <xdr:cNvCxnSpPr/>
        </xdr:nvCxnSpPr>
        <xdr:spPr>
          <a:xfrm flipV="1">
            <a:off x="2449205" y="5013176"/>
            <a:ext cx="252685" cy="859110"/>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4" name="Gerade Verbindung mit Pfeil 83"/>
          <xdr:cNvCxnSpPr/>
        </xdr:nvCxnSpPr>
        <xdr:spPr>
          <a:xfrm flipV="1">
            <a:off x="2646973" y="5013177"/>
            <a:ext cx="259742" cy="859111"/>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85" name="Rechteck 84"/>
          <xdr:cNvSpPr/>
        </xdr:nvSpPr>
        <xdr:spPr>
          <a:xfrm>
            <a:off x="2160431" y="5733256"/>
            <a:ext cx="649471" cy="144016"/>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grpSp>
    <xdr:clientData/>
  </xdr:twoCellAnchor>
  <xdr:twoCellAnchor>
    <xdr:from>
      <xdr:col>1</xdr:col>
      <xdr:colOff>199159</xdr:colOff>
      <xdr:row>18</xdr:row>
      <xdr:rowOff>69273</xdr:rowOff>
    </xdr:from>
    <xdr:to>
      <xdr:col>1</xdr:col>
      <xdr:colOff>1082386</xdr:colOff>
      <xdr:row>19</xdr:row>
      <xdr:rowOff>106702</xdr:rowOff>
    </xdr:to>
    <xdr:grpSp>
      <xdr:nvGrpSpPr>
        <xdr:cNvPr id="86" name="Gruppieren 85"/>
        <xdr:cNvGrpSpPr>
          <a:grpSpLocks noChangeAspect="1"/>
        </xdr:cNvGrpSpPr>
      </xdr:nvGrpSpPr>
      <xdr:grpSpPr>
        <a:xfrm>
          <a:off x="287082" y="3820658"/>
          <a:ext cx="883227" cy="198621"/>
          <a:chOff x="5962302" y="5449189"/>
          <a:chExt cx="1872208" cy="428083"/>
        </a:xfrm>
      </xdr:grpSpPr>
      <xdr:cxnSp macro="">
        <xdr:nvCxnSpPr>
          <xdr:cNvPr id="87" name="Gerade Verbindung 86"/>
          <xdr:cNvCxnSpPr/>
        </xdr:nvCxnSpPr>
        <xdr:spPr>
          <a:xfrm>
            <a:off x="5962302" y="5877272"/>
            <a:ext cx="1872208"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88" name="Rechteck 87"/>
          <xdr:cNvSpPr/>
        </xdr:nvSpPr>
        <xdr:spPr>
          <a:xfrm>
            <a:off x="6372200" y="5737795"/>
            <a:ext cx="1152128" cy="139477"/>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89" name="Rechteck 88"/>
          <xdr:cNvSpPr/>
        </xdr:nvSpPr>
        <xdr:spPr>
          <a:xfrm rot="1946765">
            <a:off x="6548009" y="5707082"/>
            <a:ext cx="178107" cy="132776"/>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90" name="Rechteck 89"/>
          <xdr:cNvSpPr/>
        </xdr:nvSpPr>
        <xdr:spPr>
          <a:xfrm rot="9009546">
            <a:off x="6972521" y="5449189"/>
            <a:ext cx="312415" cy="29406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grpSp>
    <xdr:clientData/>
  </xdr:twoCellAnchor>
  <xdr:twoCellAnchor>
    <xdr:from>
      <xdr:col>7</xdr:col>
      <xdr:colOff>8658</xdr:colOff>
      <xdr:row>5</xdr:row>
      <xdr:rowOff>33506</xdr:rowOff>
    </xdr:from>
    <xdr:to>
      <xdr:col>7</xdr:col>
      <xdr:colOff>622343</xdr:colOff>
      <xdr:row>5</xdr:row>
      <xdr:rowOff>79225</xdr:rowOff>
    </xdr:to>
    <xdr:grpSp>
      <xdr:nvGrpSpPr>
        <xdr:cNvPr id="93" name="Gruppieren 92"/>
        <xdr:cNvGrpSpPr>
          <a:grpSpLocks noChangeAspect="1"/>
        </xdr:cNvGrpSpPr>
      </xdr:nvGrpSpPr>
      <xdr:grpSpPr>
        <a:xfrm>
          <a:off x="4829773" y="920064"/>
          <a:ext cx="613685" cy="45719"/>
          <a:chOff x="683568" y="2708920"/>
          <a:chExt cx="1872208" cy="139477"/>
        </a:xfrm>
      </xdr:grpSpPr>
      <xdr:sp macro="" textlink="">
        <xdr:nvSpPr>
          <xdr:cNvPr id="94" name="Rechteck 93"/>
          <xdr:cNvSpPr/>
        </xdr:nvSpPr>
        <xdr:spPr>
          <a:xfrm>
            <a:off x="968785" y="2708920"/>
            <a:ext cx="1152128" cy="139477"/>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xnSp macro="">
        <xdr:nvCxnSpPr>
          <xdr:cNvPr id="95" name="Gerade Verbindung 94"/>
          <xdr:cNvCxnSpPr/>
        </xdr:nvCxnSpPr>
        <xdr:spPr>
          <a:xfrm>
            <a:off x="683568" y="2848397"/>
            <a:ext cx="1872208"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74922</xdr:colOff>
      <xdr:row>8</xdr:row>
      <xdr:rowOff>129129</xdr:rowOff>
    </xdr:from>
    <xdr:to>
      <xdr:col>7</xdr:col>
      <xdr:colOff>596348</xdr:colOff>
      <xdr:row>8</xdr:row>
      <xdr:rowOff>178536</xdr:rowOff>
    </xdr:to>
    <xdr:grpSp>
      <xdr:nvGrpSpPr>
        <xdr:cNvPr id="96" name="Gruppieren 95"/>
        <xdr:cNvGrpSpPr>
          <a:grpSpLocks noChangeAspect="1"/>
        </xdr:cNvGrpSpPr>
      </xdr:nvGrpSpPr>
      <xdr:grpSpPr>
        <a:xfrm>
          <a:off x="4896037" y="1499264"/>
          <a:ext cx="521426" cy="49407"/>
          <a:chOff x="683568" y="4293096"/>
          <a:chExt cx="1872208" cy="177400"/>
        </a:xfrm>
      </xdr:grpSpPr>
      <xdr:sp macro="" textlink="">
        <xdr:nvSpPr>
          <xdr:cNvPr id="97" name="Rechteck 96"/>
          <xdr:cNvSpPr/>
        </xdr:nvSpPr>
        <xdr:spPr>
          <a:xfrm>
            <a:off x="968785" y="4331019"/>
            <a:ext cx="1152128" cy="139477"/>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98" name="Wolkenförmige Legende 97"/>
          <xdr:cNvSpPr/>
        </xdr:nvSpPr>
        <xdr:spPr>
          <a:xfrm>
            <a:off x="968785" y="4293096"/>
            <a:ext cx="1152128" cy="162018"/>
          </a:xfrm>
          <a:prstGeom prst="cloudCallou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xnSp macro="">
        <xdr:nvCxnSpPr>
          <xdr:cNvPr id="99" name="Gerade Verbindung 98"/>
          <xdr:cNvCxnSpPr/>
        </xdr:nvCxnSpPr>
        <xdr:spPr>
          <a:xfrm>
            <a:off x="683568" y="4468958"/>
            <a:ext cx="1872208"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408105</xdr:colOff>
      <xdr:row>4</xdr:row>
      <xdr:rowOff>43299</xdr:rowOff>
    </xdr:from>
    <xdr:to>
      <xdr:col>10</xdr:col>
      <xdr:colOff>571500</xdr:colOff>
      <xdr:row>5</xdr:row>
      <xdr:rowOff>70658</xdr:rowOff>
    </xdr:to>
    <xdr:grpSp>
      <xdr:nvGrpSpPr>
        <xdr:cNvPr id="100" name="Gruppieren 99"/>
        <xdr:cNvGrpSpPr>
          <a:grpSpLocks noChangeAspect="1"/>
        </xdr:cNvGrpSpPr>
      </xdr:nvGrpSpPr>
      <xdr:grpSpPr>
        <a:xfrm>
          <a:off x="6753220" y="768664"/>
          <a:ext cx="925395" cy="188552"/>
          <a:chOff x="5216013" y="3033306"/>
          <a:chExt cx="1872208" cy="388885"/>
        </a:xfrm>
      </xdr:grpSpPr>
      <xdr:cxnSp macro="">
        <xdr:nvCxnSpPr>
          <xdr:cNvPr id="101" name="Gerade Verbindung mit Pfeil 100"/>
          <xdr:cNvCxnSpPr/>
        </xdr:nvCxnSpPr>
        <xdr:spPr>
          <a:xfrm flipV="1">
            <a:off x="5664312" y="3127592"/>
            <a:ext cx="72008" cy="157393"/>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2" name="Gerade Verbindung mit Pfeil 101"/>
          <xdr:cNvCxnSpPr/>
        </xdr:nvCxnSpPr>
        <xdr:spPr>
          <a:xfrm>
            <a:off x="5556300" y="3048688"/>
            <a:ext cx="108012" cy="249408"/>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103" name="Gerade Verbindung mit Pfeil 102"/>
          <xdr:cNvCxnSpPr/>
        </xdr:nvCxnSpPr>
        <xdr:spPr>
          <a:xfrm>
            <a:off x="5728307" y="3033306"/>
            <a:ext cx="108012" cy="249408"/>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104" name="Gerade Verbindung mit Pfeil 103"/>
          <xdr:cNvCxnSpPr/>
        </xdr:nvCxnSpPr>
        <xdr:spPr>
          <a:xfrm>
            <a:off x="5915663" y="3033306"/>
            <a:ext cx="108012" cy="249408"/>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105" name="Gerade Verbindung mit Pfeil 104"/>
          <xdr:cNvCxnSpPr/>
        </xdr:nvCxnSpPr>
        <xdr:spPr>
          <a:xfrm>
            <a:off x="6097635" y="3033306"/>
            <a:ext cx="108012" cy="249408"/>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106" name="Gerade Verbindung mit Pfeil 105"/>
          <xdr:cNvCxnSpPr/>
        </xdr:nvCxnSpPr>
        <xdr:spPr>
          <a:xfrm>
            <a:off x="6269735" y="3033915"/>
            <a:ext cx="108012" cy="249408"/>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107" name="Gerade Verbindung mit Pfeil 106"/>
          <xdr:cNvCxnSpPr/>
        </xdr:nvCxnSpPr>
        <xdr:spPr>
          <a:xfrm>
            <a:off x="6416694" y="3033306"/>
            <a:ext cx="108012" cy="249408"/>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108" name="Gerade Verbindung mit Pfeil 107"/>
          <xdr:cNvCxnSpPr/>
        </xdr:nvCxnSpPr>
        <xdr:spPr>
          <a:xfrm>
            <a:off x="6578712" y="3033306"/>
            <a:ext cx="108012" cy="249408"/>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109" name="Gerade Verbindung mit Pfeil 108"/>
          <xdr:cNvCxnSpPr/>
        </xdr:nvCxnSpPr>
        <xdr:spPr>
          <a:xfrm flipV="1">
            <a:off x="5828199" y="3127592"/>
            <a:ext cx="72008" cy="157393"/>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0" name="Gerade Verbindung mit Pfeil 109"/>
          <xdr:cNvCxnSpPr/>
        </xdr:nvCxnSpPr>
        <xdr:spPr>
          <a:xfrm flipV="1">
            <a:off x="6015929" y="3127592"/>
            <a:ext cx="72008" cy="157393"/>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1" name="Gerade Verbindung mit Pfeil 110"/>
          <xdr:cNvCxnSpPr/>
        </xdr:nvCxnSpPr>
        <xdr:spPr>
          <a:xfrm flipV="1">
            <a:off x="6197727" y="3127592"/>
            <a:ext cx="72008" cy="157393"/>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2" name="Gerade Verbindung mit Pfeil 111"/>
          <xdr:cNvCxnSpPr/>
        </xdr:nvCxnSpPr>
        <xdr:spPr>
          <a:xfrm flipV="1">
            <a:off x="6359811" y="3127592"/>
            <a:ext cx="72008" cy="157393"/>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3" name="Gerade Verbindung mit Pfeil 112"/>
          <xdr:cNvCxnSpPr/>
        </xdr:nvCxnSpPr>
        <xdr:spPr>
          <a:xfrm flipV="1">
            <a:off x="6525182" y="3127592"/>
            <a:ext cx="72008" cy="157393"/>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4" name="Gerade Verbindung mit Pfeil 113"/>
          <xdr:cNvCxnSpPr/>
        </xdr:nvCxnSpPr>
        <xdr:spPr>
          <a:xfrm flipV="1">
            <a:off x="6682840" y="3127592"/>
            <a:ext cx="72008" cy="157393"/>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5" name="Gerade Verbindung 114"/>
          <xdr:cNvCxnSpPr/>
        </xdr:nvCxnSpPr>
        <xdr:spPr>
          <a:xfrm>
            <a:off x="5216013" y="3422191"/>
            <a:ext cx="1872208"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116" name="Rechteck 115"/>
          <xdr:cNvSpPr/>
        </xdr:nvSpPr>
        <xdr:spPr>
          <a:xfrm>
            <a:off x="5556776" y="3282714"/>
            <a:ext cx="1152128" cy="139477"/>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grpSp>
    <xdr:clientData/>
  </xdr:twoCellAnchor>
  <xdr:twoCellAnchor>
    <xdr:from>
      <xdr:col>9</xdr:col>
      <xdr:colOff>409236</xdr:colOff>
      <xdr:row>7</xdr:row>
      <xdr:rowOff>138547</xdr:rowOff>
    </xdr:from>
    <xdr:to>
      <xdr:col>10</xdr:col>
      <xdr:colOff>530088</xdr:colOff>
      <xdr:row>8</xdr:row>
      <xdr:rowOff>157048</xdr:rowOff>
    </xdr:to>
    <xdr:grpSp>
      <xdr:nvGrpSpPr>
        <xdr:cNvPr id="117" name="Gruppieren 116"/>
        <xdr:cNvGrpSpPr>
          <a:grpSpLocks noChangeAspect="1"/>
        </xdr:cNvGrpSpPr>
      </xdr:nvGrpSpPr>
      <xdr:grpSpPr>
        <a:xfrm>
          <a:off x="6754351" y="1347489"/>
          <a:ext cx="882852" cy="179694"/>
          <a:chOff x="5216013" y="4205706"/>
          <a:chExt cx="1872208" cy="388885"/>
        </a:xfrm>
      </xdr:grpSpPr>
      <xdr:sp macro="" textlink="">
        <xdr:nvSpPr>
          <xdr:cNvPr id="118" name="Rechteck 117"/>
          <xdr:cNvSpPr/>
        </xdr:nvSpPr>
        <xdr:spPr>
          <a:xfrm>
            <a:off x="5556776" y="4455114"/>
            <a:ext cx="1152128" cy="139477"/>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xnSp macro="">
        <xdr:nvCxnSpPr>
          <xdr:cNvPr id="119" name="Gerade Verbindung 118"/>
          <xdr:cNvCxnSpPr/>
        </xdr:nvCxnSpPr>
        <xdr:spPr>
          <a:xfrm>
            <a:off x="5216013" y="4594591"/>
            <a:ext cx="1872208"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20" name="Gerade Verbindung mit Pfeil 119"/>
          <xdr:cNvCxnSpPr/>
        </xdr:nvCxnSpPr>
        <xdr:spPr>
          <a:xfrm>
            <a:off x="5556776" y="4221088"/>
            <a:ext cx="108012" cy="249408"/>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21" name="Gerade Verbindung mit Pfeil 120"/>
          <xdr:cNvCxnSpPr/>
        </xdr:nvCxnSpPr>
        <xdr:spPr>
          <a:xfrm>
            <a:off x="5728783" y="4205706"/>
            <a:ext cx="108012" cy="249408"/>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22" name="Gerade Verbindung mit Pfeil 121"/>
          <xdr:cNvCxnSpPr/>
        </xdr:nvCxnSpPr>
        <xdr:spPr>
          <a:xfrm>
            <a:off x="5916139" y="4205706"/>
            <a:ext cx="108012" cy="249408"/>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23" name="Gerade Verbindung mit Pfeil 122"/>
          <xdr:cNvCxnSpPr/>
        </xdr:nvCxnSpPr>
        <xdr:spPr>
          <a:xfrm>
            <a:off x="6098111" y="4205706"/>
            <a:ext cx="108012" cy="249408"/>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24" name="Gerade Verbindung mit Pfeil 123"/>
          <xdr:cNvCxnSpPr/>
        </xdr:nvCxnSpPr>
        <xdr:spPr>
          <a:xfrm>
            <a:off x="6270211" y="4206315"/>
            <a:ext cx="108012" cy="249408"/>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25" name="Gerade Verbindung mit Pfeil 124"/>
          <xdr:cNvCxnSpPr/>
        </xdr:nvCxnSpPr>
        <xdr:spPr>
          <a:xfrm>
            <a:off x="6417170" y="4205706"/>
            <a:ext cx="108012" cy="249408"/>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26" name="Gerade Verbindung mit Pfeil 125"/>
          <xdr:cNvCxnSpPr/>
        </xdr:nvCxnSpPr>
        <xdr:spPr>
          <a:xfrm>
            <a:off x="6579188" y="4205706"/>
            <a:ext cx="108012" cy="249408"/>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7</xdr:col>
      <xdr:colOff>77933</xdr:colOff>
      <xdr:row>8</xdr:row>
      <xdr:rowOff>831272</xdr:rowOff>
    </xdr:from>
    <xdr:to>
      <xdr:col>7</xdr:col>
      <xdr:colOff>528549</xdr:colOff>
      <xdr:row>11</xdr:row>
      <xdr:rowOff>129886</xdr:rowOff>
    </xdr:to>
    <xdr:pic>
      <xdr:nvPicPr>
        <xdr:cNvPr id="127"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14456" y="2182090"/>
          <a:ext cx="450616" cy="56284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editAs="oneCell">
    <xdr:from>
      <xdr:col>7</xdr:col>
      <xdr:colOff>155863</xdr:colOff>
      <xdr:row>12</xdr:row>
      <xdr:rowOff>51954</xdr:rowOff>
    </xdr:from>
    <xdr:to>
      <xdr:col>7</xdr:col>
      <xdr:colOff>519545</xdr:colOff>
      <xdr:row>14</xdr:row>
      <xdr:rowOff>56028</xdr:rowOff>
    </xdr:to>
    <xdr:pic>
      <xdr:nvPicPr>
        <xdr:cNvPr id="128"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386" y="2831522"/>
          <a:ext cx="363682" cy="33312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editAs="oneCell">
    <xdr:from>
      <xdr:col>7</xdr:col>
      <xdr:colOff>467592</xdr:colOff>
      <xdr:row>16</xdr:row>
      <xdr:rowOff>22968</xdr:rowOff>
    </xdr:from>
    <xdr:to>
      <xdr:col>8</xdr:col>
      <xdr:colOff>430696</xdr:colOff>
      <xdr:row>18</xdr:row>
      <xdr:rowOff>136286</xdr:rowOff>
    </xdr:to>
    <xdr:pic>
      <xdr:nvPicPr>
        <xdr:cNvPr id="129"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5244" y="3476816"/>
          <a:ext cx="725104" cy="44462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editAs="oneCell">
    <xdr:from>
      <xdr:col>10</xdr:col>
      <xdr:colOff>207819</xdr:colOff>
      <xdr:row>17</xdr:row>
      <xdr:rowOff>145325</xdr:rowOff>
    </xdr:from>
    <xdr:to>
      <xdr:col>10</xdr:col>
      <xdr:colOff>632850</xdr:colOff>
      <xdr:row>20</xdr:row>
      <xdr:rowOff>58733</xdr:rowOff>
    </xdr:to>
    <xdr:pic>
      <xdr:nvPicPr>
        <xdr:cNvPr id="145"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31471" y="3764825"/>
          <a:ext cx="425031" cy="41036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10</xdr:col>
      <xdr:colOff>103909</xdr:colOff>
      <xdr:row>8</xdr:row>
      <xdr:rowOff>744682</xdr:rowOff>
    </xdr:from>
    <xdr:to>
      <xdr:col>10</xdr:col>
      <xdr:colOff>476250</xdr:colOff>
      <xdr:row>10</xdr:row>
      <xdr:rowOff>0</xdr:rowOff>
    </xdr:to>
    <xdr:grpSp>
      <xdr:nvGrpSpPr>
        <xdr:cNvPr id="146" name="Gruppieren 145"/>
        <xdr:cNvGrpSpPr/>
      </xdr:nvGrpSpPr>
      <xdr:grpSpPr>
        <a:xfrm>
          <a:off x="7211024" y="2114817"/>
          <a:ext cx="372341" cy="347029"/>
          <a:chOff x="2258555" y="2613372"/>
          <a:chExt cx="633984" cy="615528"/>
        </a:xfrm>
      </xdr:grpSpPr>
      <xdr:sp macro="" textlink="">
        <xdr:nvSpPr>
          <xdr:cNvPr id="147" name="Rechtwinkliges Dreieck 146"/>
          <xdr:cNvSpPr/>
        </xdr:nvSpPr>
        <xdr:spPr>
          <a:xfrm rot="5400000">
            <a:off x="2274257" y="2610618"/>
            <a:ext cx="615528" cy="621036"/>
          </a:xfrm>
          <a:prstGeom prst="rtTriangle">
            <a:avLst/>
          </a:prstGeom>
          <a:solidFill>
            <a:schemeClr val="bg2"/>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148" name="Rechtwinkliges Dreieck 147"/>
          <xdr:cNvSpPr/>
        </xdr:nvSpPr>
        <xdr:spPr>
          <a:xfrm rot="16200000">
            <a:off x="2267783" y="2604144"/>
            <a:ext cx="615528" cy="633984"/>
          </a:xfrm>
          <a:prstGeom prst="r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149" name="Ellipse 148"/>
          <xdr:cNvSpPr/>
        </xdr:nvSpPr>
        <xdr:spPr>
          <a:xfrm>
            <a:off x="2411819" y="2753307"/>
            <a:ext cx="353352" cy="335656"/>
          </a:xfrm>
          <a:prstGeom prst="ellipse">
            <a:avLst/>
          </a:prstGeom>
          <a:noFill/>
          <a:ln w="190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grpSp>
    <xdr:clientData/>
  </xdr:twoCellAnchor>
  <xdr:twoCellAnchor>
    <xdr:from>
      <xdr:col>1</xdr:col>
      <xdr:colOff>786848</xdr:colOff>
      <xdr:row>33</xdr:row>
      <xdr:rowOff>107675</xdr:rowOff>
    </xdr:from>
    <xdr:to>
      <xdr:col>4</xdr:col>
      <xdr:colOff>406186</xdr:colOff>
      <xdr:row>42</xdr:row>
      <xdr:rowOff>50156</xdr:rowOff>
    </xdr:to>
    <xdr:grpSp>
      <xdr:nvGrpSpPr>
        <xdr:cNvPr id="152" name="Gruppieren 151"/>
        <xdr:cNvGrpSpPr/>
      </xdr:nvGrpSpPr>
      <xdr:grpSpPr>
        <a:xfrm>
          <a:off x="874771" y="6599329"/>
          <a:ext cx="1868703" cy="1393212"/>
          <a:chOff x="1742847" y="4155889"/>
          <a:chExt cx="1872208" cy="1433351"/>
        </a:xfrm>
      </xdr:grpSpPr>
      <xdr:cxnSp macro="">
        <xdr:nvCxnSpPr>
          <xdr:cNvPr id="153" name="Gerade Verbindung 152"/>
          <xdr:cNvCxnSpPr/>
        </xdr:nvCxnSpPr>
        <xdr:spPr>
          <a:xfrm>
            <a:off x="1742847" y="5589240"/>
            <a:ext cx="1872208"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54" name="Gerade Verbindung 153"/>
          <xdr:cNvCxnSpPr/>
        </xdr:nvCxnSpPr>
        <xdr:spPr>
          <a:xfrm flipH="1">
            <a:off x="1952291" y="4371913"/>
            <a:ext cx="544213" cy="1217327"/>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xnSp macro="">
        <xdr:nvCxnSpPr>
          <xdr:cNvPr id="155" name="Gerade Verbindung 154"/>
          <xdr:cNvCxnSpPr>
            <a:stCxn id="156" idx="2"/>
          </xdr:cNvCxnSpPr>
        </xdr:nvCxnSpPr>
        <xdr:spPr>
          <a:xfrm>
            <a:off x="2781510" y="4371913"/>
            <a:ext cx="621580" cy="1217327"/>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156" name="Rechteck 155"/>
          <xdr:cNvSpPr/>
        </xdr:nvSpPr>
        <xdr:spPr>
          <a:xfrm>
            <a:off x="2457474" y="4155889"/>
            <a:ext cx="648072" cy="216024"/>
          </a:xfrm>
          <a:prstGeom prst="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157" name="Rechteck 156"/>
          <xdr:cNvSpPr/>
        </xdr:nvSpPr>
        <xdr:spPr>
          <a:xfrm>
            <a:off x="2083610" y="5449763"/>
            <a:ext cx="1152128" cy="139477"/>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xnSp macro="">
        <xdr:nvCxnSpPr>
          <xdr:cNvPr id="158" name="Gerade Verbindung mit Pfeil 157"/>
          <xdr:cNvCxnSpPr/>
        </xdr:nvCxnSpPr>
        <xdr:spPr>
          <a:xfrm flipH="1">
            <a:off x="2667446" y="4426762"/>
            <a:ext cx="1" cy="1023001"/>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59" name="Gerade Verbindung mit Pfeil 158"/>
          <xdr:cNvCxnSpPr/>
        </xdr:nvCxnSpPr>
        <xdr:spPr>
          <a:xfrm flipH="1">
            <a:off x="2491083" y="4426762"/>
            <a:ext cx="1" cy="1023001"/>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60" name="Gerade Verbindung mit Pfeil 159"/>
          <xdr:cNvCxnSpPr/>
        </xdr:nvCxnSpPr>
        <xdr:spPr>
          <a:xfrm flipH="1">
            <a:off x="2843808" y="4426762"/>
            <a:ext cx="1" cy="1023001"/>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61" name="Rechteck 160"/>
          <xdr:cNvSpPr/>
        </xdr:nvSpPr>
        <xdr:spPr>
          <a:xfrm>
            <a:off x="2443134" y="4345410"/>
            <a:ext cx="448624" cy="81352"/>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grpSp>
    <xdr:clientData/>
  </xdr:twoCellAnchor>
  <xdr:twoCellAnchor>
    <xdr:from>
      <xdr:col>4</xdr:col>
      <xdr:colOff>530087</xdr:colOff>
      <xdr:row>33</xdr:row>
      <xdr:rowOff>99392</xdr:rowOff>
    </xdr:from>
    <xdr:to>
      <xdr:col>6</xdr:col>
      <xdr:colOff>679513</xdr:colOff>
      <xdr:row>42</xdr:row>
      <xdr:rowOff>41873</xdr:rowOff>
    </xdr:to>
    <xdr:grpSp>
      <xdr:nvGrpSpPr>
        <xdr:cNvPr id="162" name="Gruppieren 161"/>
        <xdr:cNvGrpSpPr/>
      </xdr:nvGrpSpPr>
      <xdr:grpSpPr>
        <a:xfrm>
          <a:off x="2867375" y="6591046"/>
          <a:ext cx="1871253" cy="1393212"/>
          <a:chOff x="5216013" y="1988840"/>
          <a:chExt cx="1872208" cy="1433351"/>
        </a:xfrm>
      </xdr:grpSpPr>
      <xdr:cxnSp macro="">
        <xdr:nvCxnSpPr>
          <xdr:cNvPr id="163" name="Gerade Verbindung mit Pfeil 162"/>
          <xdr:cNvCxnSpPr>
            <a:stCxn id="172" idx="2"/>
            <a:endCxn id="171" idx="0"/>
          </xdr:cNvCxnSpPr>
        </xdr:nvCxnSpPr>
        <xdr:spPr>
          <a:xfrm>
            <a:off x="5662702" y="2296253"/>
            <a:ext cx="470138" cy="986461"/>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164" name="Gerade Verbindung mit Pfeil 163"/>
          <xdr:cNvCxnSpPr/>
        </xdr:nvCxnSpPr>
        <xdr:spPr>
          <a:xfrm flipV="1">
            <a:off x="6347395" y="2404164"/>
            <a:ext cx="346253" cy="878551"/>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65" name="Gerade Verbindung 164"/>
          <xdr:cNvCxnSpPr/>
        </xdr:nvCxnSpPr>
        <xdr:spPr>
          <a:xfrm>
            <a:off x="5216013" y="3422191"/>
            <a:ext cx="1872208"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66" name="Gerade Verbindung 165"/>
          <xdr:cNvCxnSpPr/>
        </xdr:nvCxnSpPr>
        <xdr:spPr>
          <a:xfrm flipH="1">
            <a:off x="5425457" y="2204864"/>
            <a:ext cx="544213" cy="1217327"/>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xnSp macro="">
        <xdr:nvCxnSpPr>
          <xdr:cNvPr id="167" name="Gerade Verbindung 166"/>
          <xdr:cNvCxnSpPr>
            <a:stCxn id="168" idx="2"/>
          </xdr:cNvCxnSpPr>
        </xdr:nvCxnSpPr>
        <xdr:spPr>
          <a:xfrm>
            <a:off x="6254676" y="2204864"/>
            <a:ext cx="621580" cy="1217327"/>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168" name="Rechteck 167"/>
          <xdr:cNvSpPr/>
        </xdr:nvSpPr>
        <xdr:spPr>
          <a:xfrm>
            <a:off x="5930640" y="1988840"/>
            <a:ext cx="648072" cy="216024"/>
          </a:xfrm>
          <a:prstGeom prst="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xnSp macro="">
        <xdr:nvCxnSpPr>
          <xdr:cNvPr id="169" name="Gerade Verbindung mit Pfeil 168"/>
          <xdr:cNvCxnSpPr/>
        </xdr:nvCxnSpPr>
        <xdr:spPr>
          <a:xfrm>
            <a:off x="5499531" y="2343947"/>
            <a:ext cx="470138" cy="986461"/>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170" name="Gerade Verbindung mit Pfeil 169"/>
          <xdr:cNvCxnSpPr/>
        </xdr:nvCxnSpPr>
        <xdr:spPr>
          <a:xfrm>
            <a:off x="5829235" y="2208684"/>
            <a:ext cx="518160" cy="1074030"/>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sp macro="" textlink="">
        <xdr:nvSpPr>
          <xdr:cNvPr id="171" name="Rechteck 170"/>
          <xdr:cNvSpPr/>
        </xdr:nvSpPr>
        <xdr:spPr>
          <a:xfrm>
            <a:off x="5556776" y="3282714"/>
            <a:ext cx="1152128" cy="139477"/>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172" name="Rechteck 171"/>
          <xdr:cNvSpPr/>
        </xdr:nvSpPr>
        <xdr:spPr>
          <a:xfrm rot="20036207">
            <a:off x="5420518" y="2219037"/>
            <a:ext cx="448624" cy="81352"/>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xnSp macro="">
        <xdr:nvCxnSpPr>
          <xdr:cNvPr id="173" name="Gerade Verbindung mit Pfeil 172"/>
          <xdr:cNvCxnSpPr/>
        </xdr:nvCxnSpPr>
        <xdr:spPr>
          <a:xfrm flipV="1">
            <a:off x="6127935" y="2394808"/>
            <a:ext cx="316273" cy="877279"/>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74" name="Gerade Verbindung mit Pfeil 173"/>
          <xdr:cNvCxnSpPr/>
        </xdr:nvCxnSpPr>
        <xdr:spPr>
          <a:xfrm flipV="1">
            <a:off x="5930640" y="2394808"/>
            <a:ext cx="324036" cy="878551"/>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356133</xdr:colOff>
      <xdr:row>33</xdr:row>
      <xdr:rowOff>82838</xdr:rowOff>
    </xdr:from>
    <xdr:to>
      <xdr:col>9</xdr:col>
      <xdr:colOff>704341</xdr:colOff>
      <xdr:row>42</xdr:row>
      <xdr:rowOff>25319</xdr:rowOff>
    </xdr:to>
    <xdr:grpSp>
      <xdr:nvGrpSpPr>
        <xdr:cNvPr id="175" name="Gruppieren 174"/>
        <xdr:cNvGrpSpPr/>
      </xdr:nvGrpSpPr>
      <xdr:grpSpPr>
        <a:xfrm>
          <a:off x="5177248" y="6574492"/>
          <a:ext cx="1872208" cy="1393212"/>
          <a:chOff x="1742847" y="4155889"/>
          <a:chExt cx="1872208" cy="1433351"/>
        </a:xfrm>
      </xdr:grpSpPr>
      <xdr:sp macro="" textlink="">
        <xdr:nvSpPr>
          <xdr:cNvPr id="176" name="Rechteck 175"/>
          <xdr:cNvSpPr/>
        </xdr:nvSpPr>
        <xdr:spPr>
          <a:xfrm rot="16200000">
            <a:off x="2567298" y="4646308"/>
            <a:ext cx="224314" cy="1624851"/>
          </a:xfrm>
          <a:prstGeom prst="rect">
            <a:avLst/>
          </a:prstGeom>
          <a:solidFill>
            <a:schemeClr val="accent1">
              <a:lumMod val="20000"/>
              <a:lumOff val="80000"/>
              <a:alpha val="35000"/>
            </a:schemeClr>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xnSp macro="">
        <xdr:nvCxnSpPr>
          <xdr:cNvPr id="177" name="Gerade Verbindung 176"/>
          <xdr:cNvCxnSpPr/>
        </xdr:nvCxnSpPr>
        <xdr:spPr>
          <a:xfrm>
            <a:off x="1742847" y="5589240"/>
            <a:ext cx="1872208"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78" name="Gerade Verbindung 177"/>
          <xdr:cNvCxnSpPr/>
        </xdr:nvCxnSpPr>
        <xdr:spPr>
          <a:xfrm flipH="1">
            <a:off x="1952291" y="4371913"/>
            <a:ext cx="544213" cy="1217327"/>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xnSp macro="">
        <xdr:nvCxnSpPr>
          <xdr:cNvPr id="179" name="Gerade Verbindung 178"/>
          <xdr:cNvCxnSpPr>
            <a:stCxn id="180" idx="2"/>
          </xdr:cNvCxnSpPr>
        </xdr:nvCxnSpPr>
        <xdr:spPr>
          <a:xfrm>
            <a:off x="2781510" y="4371913"/>
            <a:ext cx="621580" cy="1217327"/>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180" name="Rechteck 179"/>
          <xdr:cNvSpPr/>
        </xdr:nvSpPr>
        <xdr:spPr>
          <a:xfrm>
            <a:off x="2457474" y="4155889"/>
            <a:ext cx="648072" cy="216024"/>
          </a:xfrm>
          <a:prstGeom prst="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181" name="Rechteck 180"/>
          <xdr:cNvSpPr/>
        </xdr:nvSpPr>
        <xdr:spPr>
          <a:xfrm>
            <a:off x="2083610" y="5449763"/>
            <a:ext cx="1152128" cy="139477"/>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xnSp macro="">
        <xdr:nvCxnSpPr>
          <xdr:cNvPr id="182" name="Gerade Verbindung mit Pfeil 181"/>
          <xdr:cNvCxnSpPr/>
        </xdr:nvCxnSpPr>
        <xdr:spPr>
          <a:xfrm>
            <a:off x="1867028" y="5517232"/>
            <a:ext cx="216582" cy="18349"/>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83" name="Gerade Verbindung mit Pfeil 182"/>
          <xdr:cNvCxnSpPr/>
        </xdr:nvCxnSpPr>
        <xdr:spPr>
          <a:xfrm flipV="1">
            <a:off x="1907704" y="5373217"/>
            <a:ext cx="549770" cy="8971"/>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84" name="Gerade Verbindung mit Pfeil 183"/>
          <xdr:cNvCxnSpPr/>
        </xdr:nvCxnSpPr>
        <xdr:spPr>
          <a:xfrm flipH="1" flipV="1">
            <a:off x="2843808" y="5373216"/>
            <a:ext cx="576064" cy="8970"/>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85" name="Rechteck 184"/>
          <xdr:cNvSpPr/>
        </xdr:nvSpPr>
        <xdr:spPr>
          <a:xfrm rot="16200000">
            <a:off x="1754871" y="5418058"/>
            <a:ext cx="224313" cy="81352"/>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186" name="Rechteck 185"/>
          <xdr:cNvSpPr/>
        </xdr:nvSpPr>
        <xdr:spPr>
          <a:xfrm rot="16200000">
            <a:off x="3348392" y="5418057"/>
            <a:ext cx="224314" cy="81354"/>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xnSp macro="">
        <xdr:nvCxnSpPr>
          <xdr:cNvPr id="187" name="Gerade Verbindung mit Pfeil 186"/>
          <xdr:cNvCxnSpPr/>
        </xdr:nvCxnSpPr>
        <xdr:spPr>
          <a:xfrm flipH="1">
            <a:off x="3226796" y="5512645"/>
            <a:ext cx="193077" cy="9174"/>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430661</xdr:colOff>
      <xdr:row>32</xdr:row>
      <xdr:rowOff>41415</xdr:rowOff>
    </xdr:from>
    <xdr:to>
      <xdr:col>13</xdr:col>
      <xdr:colOff>373021</xdr:colOff>
      <xdr:row>42</xdr:row>
      <xdr:rowOff>41077</xdr:rowOff>
    </xdr:to>
    <xdr:grpSp>
      <xdr:nvGrpSpPr>
        <xdr:cNvPr id="188" name="Gruppieren 187"/>
        <xdr:cNvGrpSpPr/>
      </xdr:nvGrpSpPr>
      <xdr:grpSpPr>
        <a:xfrm>
          <a:off x="7537776" y="6371877"/>
          <a:ext cx="1876668" cy="1611585"/>
          <a:chOff x="5296867" y="1984227"/>
          <a:chExt cx="1872208" cy="1656184"/>
        </a:xfrm>
      </xdr:grpSpPr>
      <xdr:cxnSp macro="">
        <xdr:nvCxnSpPr>
          <xdr:cNvPr id="189" name="Gerade Verbindung 188"/>
          <xdr:cNvCxnSpPr/>
        </xdr:nvCxnSpPr>
        <xdr:spPr>
          <a:xfrm>
            <a:off x="5296867" y="3417578"/>
            <a:ext cx="1872208"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90" name="Gerade Verbindung 189"/>
          <xdr:cNvCxnSpPr/>
        </xdr:nvCxnSpPr>
        <xdr:spPr>
          <a:xfrm flipH="1">
            <a:off x="5506311" y="2200251"/>
            <a:ext cx="544213" cy="1217327"/>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xnSp macro="">
        <xdr:nvCxnSpPr>
          <xdr:cNvPr id="191" name="Gerade Verbindung 190"/>
          <xdr:cNvCxnSpPr>
            <a:stCxn id="192" idx="2"/>
          </xdr:cNvCxnSpPr>
        </xdr:nvCxnSpPr>
        <xdr:spPr>
          <a:xfrm>
            <a:off x="6335530" y="2200251"/>
            <a:ext cx="621580" cy="1217327"/>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192" name="Rechteck 191"/>
          <xdr:cNvSpPr/>
        </xdr:nvSpPr>
        <xdr:spPr>
          <a:xfrm>
            <a:off x="6011494" y="1984227"/>
            <a:ext cx="648072" cy="216024"/>
          </a:xfrm>
          <a:prstGeom prst="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193" name="Rechteck 192"/>
          <xdr:cNvSpPr/>
        </xdr:nvSpPr>
        <xdr:spPr>
          <a:xfrm>
            <a:off x="5637630" y="3278101"/>
            <a:ext cx="1152128" cy="139477"/>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xnSp macro="">
        <xdr:nvCxnSpPr>
          <xdr:cNvPr id="194" name="Gerade Verbindung mit Pfeil 193"/>
          <xdr:cNvCxnSpPr/>
        </xdr:nvCxnSpPr>
        <xdr:spPr>
          <a:xfrm flipV="1">
            <a:off x="5771664" y="3417579"/>
            <a:ext cx="0" cy="141480"/>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95" name="Gerade Verbindung mit Pfeil 194"/>
          <xdr:cNvCxnSpPr/>
        </xdr:nvCxnSpPr>
        <xdr:spPr>
          <a:xfrm flipV="1">
            <a:off x="5536966" y="2566983"/>
            <a:ext cx="0" cy="992076"/>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96" name="Gerade Verbindung mit Pfeil 195"/>
          <xdr:cNvCxnSpPr/>
        </xdr:nvCxnSpPr>
        <xdr:spPr>
          <a:xfrm flipV="1">
            <a:off x="5995080" y="3424387"/>
            <a:ext cx="0" cy="141480"/>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97" name="Gerade Verbindung mit Pfeil 196"/>
          <xdr:cNvCxnSpPr/>
        </xdr:nvCxnSpPr>
        <xdr:spPr>
          <a:xfrm flipV="1">
            <a:off x="6219051" y="3417578"/>
            <a:ext cx="0" cy="141480"/>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98" name="Gerade Verbindung mit Pfeil 197"/>
          <xdr:cNvCxnSpPr/>
        </xdr:nvCxnSpPr>
        <xdr:spPr>
          <a:xfrm flipV="1">
            <a:off x="6428249" y="3415817"/>
            <a:ext cx="0" cy="141480"/>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99" name="Gerade Verbindung mit Pfeil 198"/>
          <xdr:cNvCxnSpPr/>
        </xdr:nvCxnSpPr>
        <xdr:spPr>
          <a:xfrm flipV="1">
            <a:off x="6661813" y="3406486"/>
            <a:ext cx="0" cy="141480"/>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200" name="Gerade Verbindung mit Pfeil 199"/>
          <xdr:cNvCxnSpPr/>
        </xdr:nvCxnSpPr>
        <xdr:spPr>
          <a:xfrm flipV="1">
            <a:off x="6885102" y="2565221"/>
            <a:ext cx="0" cy="992076"/>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201" name="Rechteck 200"/>
          <xdr:cNvSpPr/>
        </xdr:nvSpPr>
        <xdr:spPr>
          <a:xfrm>
            <a:off x="5372934" y="3559059"/>
            <a:ext cx="1656184" cy="81352"/>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grpSp>
    <xdr:clientData/>
  </xdr:twoCellAnchor>
  <xdr:twoCellAnchor>
    <xdr:from>
      <xdr:col>1</xdr:col>
      <xdr:colOff>770259</xdr:colOff>
      <xdr:row>46</xdr:row>
      <xdr:rowOff>124245</xdr:rowOff>
    </xdr:from>
    <xdr:to>
      <xdr:col>4</xdr:col>
      <xdr:colOff>389597</xdr:colOff>
      <xdr:row>55</xdr:row>
      <xdr:rowOff>66727</xdr:rowOff>
    </xdr:to>
    <xdr:grpSp>
      <xdr:nvGrpSpPr>
        <xdr:cNvPr id="202" name="Gruppieren 201"/>
        <xdr:cNvGrpSpPr/>
      </xdr:nvGrpSpPr>
      <xdr:grpSpPr>
        <a:xfrm>
          <a:off x="858182" y="8711399"/>
          <a:ext cx="1868703" cy="1393213"/>
          <a:chOff x="1742847" y="4155889"/>
          <a:chExt cx="1872208" cy="1433351"/>
        </a:xfrm>
      </xdr:grpSpPr>
      <xdr:cxnSp macro="">
        <xdr:nvCxnSpPr>
          <xdr:cNvPr id="203" name="Gerade Verbindung 202"/>
          <xdr:cNvCxnSpPr/>
        </xdr:nvCxnSpPr>
        <xdr:spPr>
          <a:xfrm>
            <a:off x="1742847" y="5589240"/>
            <a:ext cx="1872208"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204" name="Gerade Verbindung 203"/>
          <xdr:cNvCxnSpPr/>
        </xdr:nvCxnSpPr>
        <xdr:spPr>
          <a:xfrm flipH="1">
            <a:off x="1952291" y="4371913"/>
            <a:ext cx="544213" cy="1217327"/>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xnSp macro="">
        <xdr:nvCxnSpPr>
          <xdr:cNvPr id="205" name="Gerade Verbindung 204"/>
          <xdr:cNvCxnSpPr>
            <a:stCxn id="217" idx="2"/>
          </xdr:cNvCxnSpPr>
        </xdr:nvCxnSpPr>
        <xdr:spPr>
          <a:xfrm>
            <a:off x="2781510" y="4371913"/>
            <a:ext cx="621580" cy="1217327"/>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xnSp macro="">
        <xdr:nvCxnSpPr>
          <xdr:cNvPr id="206" name="Gerade Verbindung mit Pfeil 205"/>
          <xdr:cNvCxnSpPr/>
        </xdr:nvCxnSpPr>
        <xdr:spPr>
          <a:xfrm flipH="1">
            <a:off x="2555777" y="5121896"/>
            <a:ext cx="96801" cy="327867"/>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207" name="Gerade Verbindung mit Pfeil 206"/>
          <xdr:cNvCxnSpPr/>
        </xdr:nvCxnSpPr>
        <xdr:spPr>
          <a:xfrm>
            <a:off x="2711252" y="5047827"/>
            <a:ext cx="152400" cy="381739"/>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208" name="Gerade Verbindung mit Pfeil 207"/>
          <xdr:cNvCxnSpPr/>
        </xdr:nvCxnSpPr>
        <xdr:spPr>
          <a:xfrm flipH="1">
            <a:off x="2781510" y="4933104"/>
            <a:ext cx="82142" cy="496462"/>
          </a:xfrm>
          <a:prstGeom prst="straightConnector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209" name="Gerade Verbindung mit Pfeil 208"/>
          <xdr:cNvCxnSpPr/>
        </xdr:nvCxnSpPr>
        <xdr:spPr>
          <a:xfrm>
            <a:off x="2863652" y="4936335"/>
            <a:ext cx="451137" cy="44241"/>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210" name="Gerade Verbindung mit Pfeil 209"/>
          <xdr:cNvCxnSpPr/>
        </xdr:nvCxnSpPr>
        <xdr:spPr>
          <a:xfrm flipV="1">
            <a:off x="2711252" y="4980577"/>
            <a:ext cx="603537" cy="67251"/>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211" name="Gerade Verbindung mit Pfeil 210"/>
          <xdr:cNvCxnSpPr/>
        </xdr:nvCxnSpPr>
        <xdr:spPr>
          <a:xfrm>
            <a:off x="2652577" y="5096009"/>
            <a:ext cx="662212" cy="142687"/>
          </a:xfrm>
          <a:prstGeom prst="straightConnector1">
            <a:avLst/>
          </a:prstGeom>
          <a:ln w="19050">
            <a:solidFill>
              <a:srgbClr val="FFC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212" name="Gerade Verbindung 211"/>
          <xdr:cNvCxnSpPr/>
        </xdr:nvCxnSpPr>
        <xdr:spPr>
          <a:xfrm flipH="1">
            <a:off x="2457475" y="4866455"/>
            <a:ext cx="497371" cy="362745"/>
          </a:xfrm>
          <a:prstGeom prst="line">
            <a:avLst/>
          </a:prstGeom>
          <a:ln w="19050"/>
        </xdr:spPr>
        <xdr:style>
          <a:lnRef idx="1">
            <a:schemeClr val="accent1"/>
          </a:lnRef>
          <a:fillRef idx="0">
            <a:schemeClr val="accent1"/>
          </a:fillRef>
          <a:effectRef idx="0">
            <a:schemeClr val="accent1"/>
          </a:effectRef>
          <a:fontRef idx="minor">
            <a:schemeClr val="tx1"/>
          </a:fontRef>
        </xdr:style>
      </xdr:cxnSp>
      <xdr:cxnSp macro="">
        <xdr:nvCxnSpPr>
          <xdr:cNvPr id="213" name="Gerade Verbindung mit Pfeil 212"/>
          <xdr:cNvCxnSpPr/>
        </xdr:nvCxnSpPr>
        <xdr:spPr>
          <a:xfrm flipV="1">
            <a:off x="2604176" y="4353985"/>
            <a:ext cx="0" cy="1095778"/>
          </a:xfrm>
          <a:prstGeom prst="straightConnector1">
            <a:avLst/>
          </a:prstGeom>
          <a:ln w="6350">
            <a:solidFill>
              <a:srgbClr val="FFC000"/>
            </a:solidFill>
            <a:prstDash val="dash"/>
            <a:tailEnd type="arrow"/>
          </a:ln>
        </xdr:spPr>
        <xdr:style>
          <a:lnRef idx="1">
            <a:schemeClr val="accent1"/>
          </a:lnRef>
          <a:fillRef idx="0">
            <a:schemeClr val="accent1"/>
          </a:fillRef>
          <a:effectRef idx="0">
            <a:schemeClr val="accent1"/>
          </a:effectRef>
          <a:fontRef idx="minor">
            <a:schemeClr val="tx1"/>
          </a:fontRef>
        </xdr:style>
      </xdr:cxnSp>
      <xdr:cxnSp macro="">
        <xdr:nvCxnSpPr>
          <xdr:cNvPr id="214" name="Gerade Verbindung mit Pfeil 213"/>
          <xdr:cNvCxnSpPr/>
        </xdr:nvCxnSpPr>
        <xdr:spPr>
          <a:xfrm flipV="1">
            <a:off x="2787452" y="4353985"/>
            <a:ext cx="0" cy="1095778"/>
          </a:xfrm>
          <a:prstGeom prst="straightConnector1">
            <a:avLst/>
          </a:prstGeom>
          <a:ln w="6350">
            <a:solidFill>
              <a:srgbClr val="FFC000"/>
            </a:solidFill>
            <a:prstDash val="dash"/>
            <a:tailEnd type="arrow"/>
          </a:ln>
        </xdr:spPr>
        <xdr:style>
          <a:lnRef idx="1">
            <a:schemeClr val="accent1"/>
          </a:lnRef>
          <a:fillRef idx="0">
            <a:schemeClr val="accent1"/>
          </a:fillRef>
          <a:effectRef idx="0">
            <a:schemeClr val="accent1"/>
          </a:effectRef>
          <a:fontRef idx="minor">
            <a:schemeClr val="tx1"/>
          </a:fontRef>
        </xdr:style>
      </xdr:cxnSp>
      <xdr:cxnSp macro="">
        <xdr:nvCxnSpPr>
          <xdr:cNvPr id="215" name="Gerade Verbindung mit Pfeil 214"/>
          <xdr:cNvCxnSpPr/>
        </xdr:nvCxnSpPr>
        <xdr:spPr>
          <a:xfrm flipV="1">
            <a:off x="2691255" y="4353985"/>
            <a:ext cx="0" cy="1095778"/>
          </a:xfrm>
          <a:prstGeom prst="straightConnector1">
            <a:avLst/>
          </a:prstGeom>
          <a:ln w="6350">
            <a:solidFill>
              <a:srgbClr val="FFC000"/>
            </a:solidFill>
            <a:prstDash val="dash"/>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216" name="Rechteck 215"/>
          <xdr:cNvSpPr/>
        </xdr:nvSpPr>
        <xdr:spPr>
          <a:xfrm>
            <a:off x="2083610" y="5449763"/>
            <a:ext cx="1152128" cy="139477"/>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217" name="Rechteck 216"/>
          <xdr:cNvSpPr/>
        </xdr:nvSpPr>
        <xdr:spPr>
          <a:xfrm>
            <a:off x="2457474" y="4155889"/>
            <a:ext cx="648072" cy="216024"/>
          </a:xfrm>
          <a:prstGeom prst="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sp macro="" textlink="">
        <xdr:nvSpPr>
          <xdr:cNvPr id="218" name="Rechteck 217"/>
          <xdr:cNvSpPr/>
        </xdr:nvSpPr>
        <xdr:spPr>
          <a:xfrm rot="16200000">
            <a:off x="3131153" y="5081221"/>
            <a:ext cx="448624" cy="81352"/>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grpSp>
    <xdr:clientData/>
  </xdr:twoCellAnchor>
  <xdr:twoCellAnchor>
    <xdr:from>
      <xdr:col>5</xdr:col>
      <xdr:colOff>530085</xdr:colOff>
      <xdr:row>54</xdr:row>
      <xdr:rowOff>157153</xdr:rowOff>
    </xdr:from>
    <xdr:to>
      <xdr:col>7</xdr:col>
      <xdr:colOff>391479</xdr:colOff>
      <xdr:row>54</xdr:row>
      <xdr:rowOff>157153</xdr:rowOff>
    </xdr:to>
    <xdr:cxnSp macro="">
      <xdr:nvCxnSpPr>
        <xdr:cNvPr id="233" name="Gerade Verbindung 232"/>
        <xdr:cNvCxnSpPr/>
      </xdr:nvCxnSpPr>
      <xdr:spPr>
        <a:xfrm>
          <a:off x="3632514" y="10139353"/>
          <a:ext cx="1586779" cy="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101535</xdr:colOff>
      <xdr:row>51</xdr:row>
      <xdr:rowOff>61546</xdr:rowOff>
    </xdr:from>
    <xdr:to>
      <xdr:col>7</xdr:col>
      <xdr:colOff>49823</xdr:colOff>
      <xdr:row>54</xdr:row>
      <xdr:rowOff>117182</xdr:rowOff>
    </xdr:to>
    <xdr:cxnSp macro="">
      <xdr:nvCxnSpPr>
        <xdr:cNvPr id="234" name="Gerade Verbindung 233"/>
        <xdr:cNvCxnSpPr>
          <a:endCxn id="236" idx="1"/>
        </xdr:cNvCxnSpPr>
      </xdr:nvCxnSpPr>
      <xdr:spPr>
        <a:xfrm flipH="1">
          <a:off x="4157720" y="9460523"/>
          <a:ext cx="710288" cy="539213"/>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140929</xdr:colOff>
      <xdr:row>49</xdr:row>
      <xdr:rowOff>48596</xdr:rowOff>
    </xdr:from>
    <xdr:to>
      <xdr:col>7</xdr:col>
      <xdr:colOff>353998</xdr:colOff>
      <xdr:row>52</xdr:row>
      <xdr:rowOff>135750</xdr:rowOff>
    </xdr:to>
    <xdr:sp macro="" textlink="">
      <xdr:nvSpPr>
        <xdr:cNvPr id="235" name="Rechteck 234"/>
        <xdr:cNvSpPr/>
      </xdr:nvSpPr>
      <xdr:spPr>
        <a:xfrm rot="2780753">
          <a:off x="4780283" y="9304019"/>
          <a:ext cx="570731" cy="213069"/>
        </a:xfrm>
        <a:prstGeom prst="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lientData/>
  </xdr:twoCellAnchor>
  <xdr:twoCellAnchor>
    <xdr:from>
      <xdr:col>6</xdr:col>
      <xdr:colOff>101535</xdr:colOff>
      <xdr:row>54</xdr:row>
      <xdr:rowOff>87405</xdr:rowOff>
    </xdr:from>
    <xdr:to>
      <xdr:col>6</xdr:col>
      <xdr:colOff>713013</xdr:colOff>
      <xdr:row>54</xdr:row>
      <xdr:rowOff>146959</xdr:rowOff>
    </xdr:to>
    <xdr:sp macro="" textlink="">
      <xdr:nvSpPr>
        <xdr:cNvPr id="236" name="Rechteck 235"/>
        <xdr:cNvSpPr/>
      </xdr:nvSpPr>
      <xdr:spPr>
        <a:xfrm>
          <a:off x="4167349" y="10069605"/>
          <a:ext cx="611478" cy="59554"/>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de-DE"/>
        </a:p>
      </xdr:txBody>
    </xdr:sp>
    <xdr:clientData/>
  </xdr:twoCellAnchor>
  <xdr:twoCellAnchor>
    <xdr:from>
      <xdr:col>5</xdr:col>
      <xdr:colOff>905608</xdr:colOff>
      <xdr:row>52</xdr:row>
      <xdr:rowOff>149469</xdr:rowOff>
    </xdr:from>
    <xdr:to>
      <xdr:col>6</xdr:col>
      <xdr:colOff>173775</xdr:colOff>
      <xdr:row>54</xdr:row>
      <xdr:rowOff>73520</xdr:rowOff>
    </xdr:to>
    <xdr:cxnSp macro="">
      <xdr:nvCxnSpPr>
        <xdr:cNvPr id="237" name="Gerade Verbindung mit Pfeil 236"/>
        <xdr:cNvCxnSpPr/>
      </xdr:nvCxnSpPr>
      <xdr:spPr>
        <a:xfrm flipH="1" flipV="1">
          <a:off x="4000500" y="9709638"/>
          <a:ext cx="229460" cy="246436"/>
        </a:xfrm>
        <a:prstGeom prst="straightConnector1">
          <a:avLst/>
        </a:prstGeom>
        <a:ln w="19050">
          <a:solidFill>
            <a:srgbClr val="FFC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644771</xdr:colOff>
      <xdr:row>52</xdr:row>
      <xdr:rowOff>46893</xdr:rowOff>
    </xdr:from>
    <xdr:to>
      <xdr:col>7</xdr:col>
      <xdr:colOff>275492</xdr:colOff>
      <xdr:row>54</xdr:row>
      <xdr:rowOff>67408</xdr:rowOff>
    </xdr:to>
    <xdr:cxnSp macro="">
      <xdr:nvCxnSpPr>
        <xdr:cNvPr id="238" name="Gerade Verbindung mit Pfeil 237"/>
        <xdr:cNvCxnSpPr/>
      </xdr:nvCxnSpPr>
      <xdr:spPr>
        <a:xfrm flipH="1">
          <a:off x="4700956" y="9607062"/>
          <a:ext cx="392721" cy="342900"/>
        </a:xfrm>
        <a:prstGeom prst="straightConnector1">
          <a:avLst/>
        </a:prstGeom>
        <a:ln w="19050">
          <a:solidFill>
            <a:srgbClr val="FFC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713013</xdr:colOff>
      <xdr:row>52</xdr:row>
      <xdr:rowOff>41031</xdr:rowOff>
    </xdr:from>
    <xdr:to>
      <xdr:col>7</xdr:col>
      <xdr:colOff>225669</xdr:colOff>
      <xdr:row>54</xdr:row>
      <xdr:rowOff>117182</xdr:rowOff>
    </xdr:to>
    <xdr:cxnSp macro="">
      <xdr:nvCxnSpPr>
        <xdr:cNvPr id="239" name="Gerade Verbindung 238"/>
        <xdr:cNvCxnSpPr>
          <a:endCxn id="236" idx="3"/>
        </xdr:cNvCxnSpPr>
      </xdr:nvCxnSpPr>
      <xdr:spPr>
        <a:xfrm flipH="1">
          <a:off x="4769198" y="9601200"/>
          <a:ext cx="274656" cy="398536"/>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955432</xdr:colOff>
      <xdr:row>52</xdr:row>
      <xdr:rowOff>120162</xdr:rowOff>
    </xdr:from>
    <xdr:to>
      <xdr:col>6</xdr:col>
      <xdr:colOff>225669</xdr:colOff>
      <xdr:row>54</xdr:row>
      <xdr:rowOff>32238</xdr:rowOff>
    </xdr:to>
    <xdr:cxnSp macro="">
      <xdr:nvCxnSpPr>
        <xdr:cNvPr id="240" name="Gerade Verbindung mit Pfeil 239"/>
        <xdr:cNvCxnSpPr/>
      </xdr:nvCxnSpPr>
      <xdr:spPr>
        <a:xfrm>
          <a:off x="4050324" y="9680331"/>
          <a:ext cx="231530" cy="234461"/>
        </a:xfrm>
        <a:prstGeom prst="straightConnector1">
          <a:avLst/>
        </a:prstGeom>
        <a:ln w="19050">
          <a:solidFill>
            <a:srgbClr val="FFC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131884</xdr:colOff>
      <xdr:row>51</xdr:row>
      <xdr:rowOff>140677</xdr:rowOff>
    </xdr:from>
    <xdr:to>
      <xdr:col>6</xdr:col>
      <xdr:colOff>586153</xdr:colOff>
      <xdr:row>54</xdr:row>
      <xdr:rowOff>96715</xdr:rowOff>
    </xdr:to>
    <xdr:cxnSp macro="">
      <xdr:nvCxnSpPr>
        <xdr:cNvPr id="241" name="Gerade Verbindung mit Pfeil 240"/>
        <xdr:cNvCxnSpPr/>
      </xdr:nvCxnSpPr>
      <xdr:spPr>
        <a:xfrm>
          <a:off x="4188069" y="9539654"/>
          <a:ext cx="454269" cy="439615"/>
        </a:xfrm>
        <a:prstGeom prst="straightConnector1">
          <a:avLst/>
        </a:prstGeom>
        <a:ln w="19050">
          <a:solidFill>
            <a:srgbClr val="FFC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172915</xdr:colOff>
      <xdr:row>51</xdr:row>
      <xdr:rowOff>87923</xdr:rowOff>
    </xdr:from>
    <xdr:to>
      <xdr:col>6</xdr:col>
      <xdr:colOff>651831</xdr:colOff>
      <xdr:row>54</xdr:row>
      <xdr:rowOff>62215</xdr:rowOff>
    </xdr:to>
    <xdr:cxnSp macro="">
      <xdr:nvCxnSpPr>
        <xdr:cNvPr id="242" name="Gerade Verbindung mit Pfeil 241"/>
        <xdr:cNvCxnSpPr/>
      </xdr:nvCxnSpPr>
      <xdr:spPr>
        <a:xfrm flipH="1" flipV="1">
          <a:off x="4229100" y="9486900"/>
          <a:ext cx="478916" cy="457869"/>
        </a:xfrm>
        <a:prstGeom prst="straightConnector1">
          <a:avLst/>
        </a:prstGeom>
        <a:ln w="19050">
          <a:solidFill>
            <a:srgbClr val="FFC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770107</xdr:colOff>
      <xdr:row>50</xdr:row>
      <xdr:rowOff>134566</xdr:rowOff>
    </xdr:from>
    <xdr:to>
      <xdr:col>6</xdr:col>
      <xdr:colOff>296580</xdr:colOff>
      <xdr:row>53</xdr:row>
      <xdr:rowOff>113490</xdr:rowOff>
    </xdr:to>
    <xdr:cxnSp macro="">
      <xdr:nvCxnSpPr>
        <xdr:cNvPr id="232" name="Gerade Verbindung 231"/>
        <xdr:cNvCxnSpPr/>
      </xdr:nvCxnSpPr>
      <xdr:spPr>
        <a:xfrm flipV="1">
          <a:off x="3866745" y="9408268"/>
          <a:ext cx="487080" cy="46530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115956</xdr:colOff>
      <xdr:row>1</xdr:row>
      <xdr:rowOff>115956</xdr:rowOff>
    </xdr:from>
    <xdr:to>
      <xdr:col>3</xdr:col>
      <xdr:colOff>173935</xdr:colOff>
      <xdr:row>2</xdr:row>
      <xdr:rowOff>124239</xdr:rowOff>
    </xdr:to>
    <xdr:sp macro="" textlink="">
      <xdr:nvSpPr>
        <xdr:cNvPr id="9243" name="Rechteck 9242"/>
        <xdr:cNvSpPr/>
      </xdr:nvSpPr>
      <xdr:spPr>
        <a:xfrm>
          <a:off x="115956" y="314739"/>
          <a:ext cx="1954696" cy="173935"/>
        </a:xfrm>
        <a:prstGeom prst="rect">
          <a:avLst/>
        </a:prstGeom>
        <a:solidFill>
          <a:srgbClr val="00B0F0">
            <a:alpha val="5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6</xdr:col>
      <xdr:colOff>400900</xdr:colOff>
      <xdr:row>1</xdr:row>
      <xdr:rowOff>119268</xdr:rowOff>
    </xdr:from>
    <xdr:to>
      <xdr:col>7</xdr:col>
      <xdr:colOff>107674</xdr:colOff>
      <xdr:row>2</xdr:row>
      <xdr:rowOff>115956</xdr:rowOff>
    </xdr:to>
    <xdr:sp macro="" textlink="">
      <xdr:nvSpPr>
        <xdr:cNvPr id="290" name="Rechteck 289"/>
        <xdr:cNvSpPr/>
      </xdr:nvSpPr>
      <xdr:spPr>
        <a:xfrm>
          <a:off x="4376552" y="318051"/>
          <a:ext cx="468774" cy="162340"/>
        </a:xfrm>
        <a:prstGeom prst="rect">
          <a:avLst/>
        </a:prstGeom>
        <a:solidFill>
          <a:srgbClr val="00B0F0">
            <a:alpha val="5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8</xdr:col>
      <xdr:colOff>670891</xdr:colOff>
      <xdr:row>1</xdr:row>
      <xdr:rowOff>122582</xdr:rowOff>
    </xdr:from>
    <xdr:to>
      <xdr:col>10</xdr:col>
      <xdr:colOff>82825</xdr:colOff>
      <xdr:row>2</xdr:row>
      <xdr:rowOff>124240</xdr:rowOff>
    </xdr:to>
    <xdr:sp macro="" textlink="">
      <xdr:nvSpPr>
        <xdr:cNvPr id="291" name="Rechteck 290"/>
        <xdr:cNvSpPr/>
      </xdr:nvSpPr>
      <xdr:spPr>
        <a:xfrm>
          <a:off x="6170543" y="321365"/>
          <a:ext cx="935934" cy="167310"/>
        </a:xfrm>
        <a:prstGeom prst="rect">
          <a:avLst/>
        </a:prstGeom>
        <a:solidFill>
          <a:srgbClr val="00B0F0">
            <a:alpha val="5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8</xdr:col>
      <xdr:colOff>699066</xdr:colOff>
      <xdr:row>8</xdr:row>
      <xdr:rowOff>515178</xdr:rowOff>
    </xdr:from>
    <xdr:to>
      <xdr:col>10</xdr:col>
      <xdr:colOff>770282</xdr:colOff>
      <xdr:row>8</xdr:row>
      <xdr:rowOff>679174</xdr:rowOff>
    </xdr:to>
    <xdr:sp macro="" textlink="">
      <xdr:nvSpPr>
        <xdr:cNvPr id="292" name="Rechteck 291"/>
        <xdr:cNvSpPr/>
      </xdr:nvSpPr>
      <xdr:spPr>
        <a:xfrm>
          <a:off x="6198718" y="1873526"/>
          <a:ext cx="1595216" cy="163996"/>
        </a:xfrm>
        <a:prstGeom prst="rect">
          <a:avLst/>
        </a:prstGeom>
        <a:solidFill>
          <a:srgbClr val="00B0F0">
            <a:alpha val="5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8</xdr:col>
      <xdr:colOff>702386</xdr:colOff>
      <xdr:row>16</xdr:row>
      <xdr:rowOff>162339</xdr:rowOff>
    </xdr:from>
    <xdr:to>
      <xdr:col>10</xdr:col>
      <xdr:colOff>773602</xdr:colOff>
      <xdr:row>17</xdr:row>
      <xdr:rowOff>160683</xdr:rowOff>
    </xdr:to>
    <xdr:sp macro="" textlink="">
      <xdr:nvSpPr>
        <xdr:cNvPr id="293" name="Rechteck 292"/>
        <xdr:cNvSpPr/>
      </xdr:nvSpPr>
      <xdr:spPr>
        <a:xfrm>
          <a:off x="6202038" y="3616187"/>
          <a:ext cx="1595216" cy="163996"/>
        </a:xfrm>
        <a:prstGeom prst="rect">
          <a:avLst/>
        </a:prstGeom>
        <a:solidFill>
          <a:srgbClr val="00B0F0">
            <a:alpha val="5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6</xdr:col>
      <xdr:colOff>405847</xdr:colOff>
      <xdr:row>15</xdr:row>
      <xdr:rowOff>74544</xdr:rowOff>
    </xdr:from>
    <xdr:to>
      <xdr:col>8</xdr:col>
      <xdr:colOff>66261</xdr:colOff>
      <xdr:row>16</xdr:row>
      <xdr:rowOff>82828</xdr:rowOff>
    </xdr:to>
    <xdr:sp macro="" textlink="">
      <xdr:nvSpPr>
        <xdr:cNvPr id="294" name="Rechteck 293"/>
        <xdr:cNvSpPr/>
      </xdr:nvSpPr>
      <xdr:spPr>
        <a:xfrm>
          <a:off x="4381499" y="3362740"/>
          <a:ext cx="1184414" cy="173936"/>
        </a:xfrm>
        <a:prstGeom prst="rect">
          <a:avLst/>
        </a:prstGeom>
        <a:solidFill>
          <a:srgbClr val="00B0F0">
            <a:alpha val="5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6</xdr:col>
      <xdr:colOff>392595</xdr:colOff>
      <xdr:row>8</xdr:row>
      <xdr:rowOff>612913</xdr:rowOff>
    </xdr:from>
    <xdr:to>
      <xdr:col>7</xdr:col>
      <xdr:colOff>173935</xdr:colOff>
      <xdr:row>8</xdr:row>
      <xdr:rowOff>778566</xdr:rowOff>
    </xdr:to>
    <xdr:sp macro="" textlink="">
      <xdr:nvSpPr>
        <xdr:cNvPr id="295" name="Rechteck 294"/>
        <xdr:cNvSpPr/>
      </xdr:nvSpPr>
      <xdr:spPr>
        <a:xfrm>
          <a:off x="4368247" y="1971261"/>
          <a:ext cx="543340" cy="165653"/>
        </a:xfrm>
        <a:prstGeom prst="rect">
          <a:avLst/>
        </a:prstGeom>
        <a:solidFill>
          <a:srgbClr val="00B0F0">
            <a:alpha val="5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6</xdr:col>
      <xdr:colOff>174175</xdr:colOff>
      <xdr:row>50</xdr:row>
      <xdr:rowOff>146538</xdr:rowOff>
    </xdr:from>
    <xdr:to>
      <xdr:col>7</xdr:col>
      <xdr:colOff>67407</xdr:colOff>
      <xdr:row>54</xdr:row>
      <xdr:rowOff>87086</xdr:rowOff>
    </xdr:to>
    <xdr:cxnSp macro="">
      <xdr:nvCxnSpPr>
        <xdr:cNvPr id="219" name="Gerade Verbindung mit Pfeil 218"/>
        <xdr:cNvCxnSpPr/>
      </xdr:nvCxnSpPr>
      <xdr:spPr>
        <a:xfrm flipH="1">
          <a:off x="4230360" y="9384323"/>
          <a:ext cx="655232" cy="585317"/>
        </a:xfrm>
        <a:prstGeom prst="straightConnector1">
          <a:avLst/>
        </a:prstGeom>
        <a:ln w="19050">
          <a:solidFill>
            <a:srgbClr val="FFC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266702</xdr:colOff>
      <xdr:row>51</xdr:row>
      <xdr:rowOff>41031</xdr:rowOff>
    </xdr:from>
    <xdr:to>
      <xdr:col>7</xdr:col>
      <xdr:colOff>105507</xdr:colOff>
      <xdr:row>54</xdr:row>
      <xdr:rowOff>84994</xdr:rowOff>
    </xdr:to>
    <xdr:cxnSp macro="">
      <xdr:nvCxnSpPr>
        <xdr:cNvPr id="221" name="Gerade Verbindung mit Pfeil 220"/>
        <xdr:cNvCxnSpPr/>
      </xdr:nvCxnSpPr>
      <xdr:spPr>
        <a:xfrm flipV="1">
          <a:off x="4322887" y="9440008"/>
          <a:ext cx="600805" cy="527540"/>
        </a:xfrm>
        <a:prstGeom prst="straightConnector1">
          <a:avLst/>
        </a:prstGeom>
        <a:ln w="19050">
          <a:solidFill>
            <a:srgbClr val="FFC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559778</xdr:colOff>
      <xdr:row>52</xdr:row>
      <xdr:rowOff>5862</xdr:rowOff>
    </xdr:from>
    <xdr:to>
      <xdr:col>7</xdr:col>
      <xdr:colOff>237392</xdr:colOff>
      <xdr:row>54</xdr:row>
      <xdr:rowOff>73271</xdr:rowOff>
    </xdr:to>
    <xdr:cxnSp macro="">
      <xdr:nvCxnSpPr>
        <xdr:cNvPr id="245" name="Gerade Verbindung mit Pfeil 244"/>
        <xdr:cNvCxnSpPr/>
      </xdr:nvCxnSpPr>
      <xdr:spPr>
        <a:xfrm flipV="1">
          <a:off x="4615963" y="9566031"/>
          <a:ext cx="439614" cy="389794"/>
        </a:xfrm>
        <a:prstGeom prst="straightConnector1">
          <a:avLst/>
        </a:prstGeom>
        <a:ln w="19050">
          <a:solidFill>
            <a:srgbClr val="FFC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757444</xdr:colOff>
      <xdr:row>0</xdr:row>
      <xdr:rowOff>193815</xdr:rowOff>
    </xdr:from>
    <xdr:to>
      <xdr:col>11</xdr:col>
      <xdr:colOff>753717</xdr:colOff>
      <xdr:row>4</xdr:row>
      <xdr:rowOff>49697</xdr:rowOff>
    </xdr:to>
    <xdr:sp macro="" textlink="">
      <xdr:nvSpPr>
        <xdr:cNvPr id="2" name="Rechteck 1"/>
        <xdr:cNvSpPr/>
      </xdr:nvSpPr>
      <xdr:spPr>
        <a:xfrm>
          <a:off x="6091444" y="193815"/>
          <a:ext cx="2348534" cy="551621"/>
        </a:xfrm>
        <a:prstGeom prst="rect">
          <a:avLst/>
        </a:prstGeom>
        <a:solidFill>
          <a:schemeClr val="accent1">
            <a:alpha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9</xdr:col>
      <xdr:colOff>24848</xdr:colOff>
      <xdr:row>7</xdr:row>
      <xdr:rowOff>49695</xdr:rowOff>
    </xdr:from>
    <xdr:to>
      <xdr:col>12</xdr:col>
      <xdr:colOff>231913</xdr:colOff>
      <xdr:row>7</xdr:row>
      <xdr:rowOff>74545</xdr:rowOff>
    </xdr:to>
    <xdr:cxnSp macro="">
      <xdr:nvCxnSpPr>
        <xdr:cNvPr id="5" name="Gerade Verbindung mit Pfeil 4"/>
        <xdr:cNvCxnSpPr/>
      </xdr:nvCxnSpPr>
      <xdr:spPr>
        <a:xfrm flipV="1">
          <a:off x="6120848" y="1242391"/>
          <a:ext cx="2559326" cy="24850"/>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56735</xdr:colOff>
      <xdr:row>1</xdr:row>
      <xdr:rowOff>6628</xdr:rowOff>
    </xdr:from>
    <xdr:to>
      <xdr:col>12</xdr:col>
      <xdr:colOff>53008</xdr:colOff>
      <xdr:row>4</xdr:row>
      <xdr:rowOff>61293</xdr:rowOff>
    </xdr:to>
    <xdr:sp macro="" textlink="">
      <xdr:nvSpPr>
        <xdr:cNvPr id="17" name="Rechteck 16"/>
        <xdr:cNvSpPr/>
      </xdr:nvSpPr>
      <xdr:spPr>
        <a:xfrm>
          <a:off x="6152735" y="205411"/>
          <a:ext cx="2348534" cy="551621"/>
        </a:xfrm>
        <a:prstGeom prst="rect">
          <a:avLst/>
        </a:prstGeom>
        <a:solidFill>
          <a:schemeClr val="accent1">
            <a:alpha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9</xdr:col>
      <xdr:colOff>134592</xdr:colOff>
      <xdr:row>1</xdr:row>
      <xdr:rowOff>18224</xdr:rowOff>
    </xdr:from>
    <xdr:to>
      <xdr:col>12</xdr:col>
      <xdr:colOff>130865</xdr:colOff>
      <xdr:row>4</xdr:row>
      <xdr:rowOff>72889</xdr:rowOff>
    </xdr:to>
    <xdr:sp macro="" textlink="">
      <xdr:nvSpPr>
        <xdr:cNvPr id="18" name="Rechteck 17"/>
        <xdr:cNvSpPr/>
      </xdr:nvSpPr>
      <xdr:spPr>
        <a:xfrm>
          <a:off x="6230592" y="217007"/>
          <a:ext cx="2348534" cy="551621"/>
        </a:xfrm>
        <a:prstGeom prst="rect">
          <a:avLst/>
        </a:prstGeom>
        <a:solidFill>
          <a:schemeClr val="accent1">
            <a:alpha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9</xdr:col>
      <xdr:colOff>212451</xdr:colOff>
      <xdr:row>1</xdr:row>
      <xdr:rowOff>29824</xdr:rowOff>
    </xdr:from>
    <xdr:to>
      <xdr:col>12</xdr:col>
      <xdr:colOff>208724</xdr:colOff>
      <xdr:row>4</xdr:row>
      <xdr:rowOff>84489</xdr:rowOff>
    </xdr:to>
    <xdr:sp macro="" textlink="">
      <xdr:nvSpPr>
        <xdr:cNvPr id="19" name="Rechteck 18"/>
        <xdr:cNvSpPr/>
      </xdr:nvSpPr>
      <xdr:spPr>
        <a:xfrm>
          <a:off x="6308451" y="228607"/>
          <a:ext cx="2348534" cy="551621"/>
        </a:xfrm>
        <a:prstGeom prst="rect">
          <a:avLst/>
        </a:prstGeom>
        <a:solidFill>
          <a:schemeClr val="accent1">
            <a:alpha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66263</xdr:colOff>
      <xdr:row>9</xdr:row>
      <xdr:rowOff>74544</xdr:rowOff>
    </xdr:from>
    <xdr:to>
      <xdr:col>3</xdr:col>
      <xdr:colOff>679175</xdr:colOff>
      <xdr:row>11</xdr:row>
      <xdr:rowOff>49696</xdr:rowOff>
    </xdr:to>
    <xdr:sp macro="" textlink="">
      <xdr:nvSpPr>
        <xdr:cNvPr id="4" name="Rechteck 3"/>
        <xdr:cNvSpPr/>
      </xdr:nvSpPr>
      <xdr:spPr>
        <a:xfrm>
          <a:off x="66263" y="1598544"/>
          <a:ext cx="612912" cy="306456"/>
        </a:xfrm>
        <a:prstGeom prst="rect">
          <a:avLst/>
        </a:prstGeom>
        <a:solidFill>
          <a:schemeClr val="accent1">
            <a:alpha val="38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812800</xdr:colOff>
      <xdr:row>48</xdr:row>
      <xdr:rowOff>76200</xdr:rowOff>
    </xdr:from>
    <xdr:to>
      <xdr:col>6</xdr:col>
      <xdr:colOff>1600200</xdr:colOff>
      <xdr:row>48</xdr:row>
      <xdr:rowOff>76200</xdr:rowOff>
    </xdr:to>
    <xdr:cxnSp macro="">
      <xdr:nvCxnSpPr>
        <xdr:cNvPr id="3" name="Gerade Verbindung mit Pfeil 2"/>
        <xdr:cNvCxnSpPr/>
      </xdr:nvCxnSpPr>
      <xdr:spPr>
        <a:xfrm flipH="1">
          <a:off x="9880600" y="7937500"/>
          <a:ext cx="20447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1079500</xdr:colOff>
      <xdr:row>49</xdr:row>
      <xdr:rowOff>63500</xdr:rowOff>
    </xdr:from>
    <xdr:to>
      <xdr:col>6</xdr:col>
      <xdr:colOff>1600200</xdr:colOff>
      <xdr:row>49</xdr:row>
      <xdr:rowOff>63500</xdr:rowOff>
    </xdr:to>
    <xdr:cxnSp macro="">
      <xdr:nvCxnSpPr>
        <xdr:cNvPr id="4" name="Gerade Verbindung mit Pfeil 3"/>
        <xdr:cNvCxnSpPr/>
      </xdr:nvCxnSpPr>
      <xdr:spPr>
        <a:xfrm flipH="1">
          <a:off x="10147300" y="8089900"/>
          <a:ext cx="17780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584200</xdr:colOff>
      <xdr:row>50</xdr:row>
      <xdr:rowOff>63500</xdr:rowOff>
    </xdr:from>
    <xdr:to>
      <xdr:col>6</xdr:col>
      <xdr:colOff>1600200</xdr:colOff>
      <xdr:row>50</xdr:row>
      <xdr:rowOff>63500</xdr:rowOff>
    </xdr:to>
    <xdr:cxnSp macro="">
      <xdr:nvCxnSpPr>
        <xdr:cNvPr id="5" name="Gerade Verbindung mit Pfeil 4"/>
        <xdr:cNvCxnSpPr/>
      </xdr:nvCxnSpPr>
      <xdr:spPr>
        <a:xfrm flipH="1">
          <a:off x="10909300" y="8255000"/>
          <a:ext cx="10160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1130300</xdr:colOff>
      <xdr:row>51</xdr:row>
      <xdr:rowOff>76200</xdr:rowOff>
    </xdr:from>
    <xdr:to>
      <xdr:col>6</xdr:col>
      <xdr:colOff>584200</xdr:colOff>
      <xdr:row>51</xdr:row>
      <xdr:rowOff>76200</xdr:rowOff>
    </xdr:to>
    <xdr:cxnSp macro="">
      <xdr:nvCxnSpPr>
        <xdr:cNvPr id="6" name="Gerade Verbindung mit Pfeil 5"/>
        <xdr:cNvCxnSpPr/>
      </xdr:nvCxnSpPr>
      <xdr:spPr>
        <a:xfrm flipH="1">
          <a:off x="10198100" y="8432800"/>
          <a:ext cx="7112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838200</xdr:colOff>
      <xdr:row>52</xdr:row>
      <xdr:rowOff>76200</xdr:rowOff>
    </xdr:from>
    <xdr:to>
      <xdr:col>5</xdr:col>
      <xdr:colOff>1143000</xdr:colOff>
      <xdr:row>52</xdr:row>
      <xdr:rowOff>76200</xdr:rowOff>
    </xdr:to>
    <xdr:cxnSp macro="">
      <xdr:nvCxnSpPr>
        <xdr:cNvPr id="10" name="Gerade Verbindung mit Pfeil 9"/>
        <xdr:cNvCxnSpPr/>
      </xdr:nvCxnSpPr>
      <xdr:spPr>
        <a:xfrm flipH="1">
          <a:off x="9906000" y="8636000"/>
          <a:ext cx="3048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825500</xdr:colOff>
      <xdr:row>47</xdr:row>
      <xdr:rowOff>76200</xdr:rowOff>
    </xdr:from>
    <xdr:to>
      <xdr:col>6</xdr:col>
      <xdr:colOff>1346200</xdr:colOff>
      <xdr:row>47</xdr:row>
      <xdr:rowOff>76200</xdr:rowOff>
    </xdr:to>
    <xdr:cxnSp macro="">
      <xdr:nvCxnSpPr>
        <xdr:cNvPr id="12" name="Gerade Verbindung mit Pfeil 11"/>
        <xdr:cNvCxnSpPr/>
      </xdr:nvCxnSpPr>
      <xdr:spPr>
        <a:xfrm flipH="1">
          <a:off x="9893300" y="7772400"/>
          <a:ext cx="1778000" cy="0"/>
        </a:xfrm>
        <a:prstGeom prst="straightConnector1">
          <a:avLst/>
        </a:prstGeom>
        <a:ln>
          <a:headEnd type="ova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1344705</xdr:colOff>
      <xdr:row>46</xdr:row>
      <xdr:rowOff>78441</xdr:rowOff>
    </xdr:from>
    <xdr:to>
      <xdr:col>7</xdr:col>
      <xdr:colOff>35858</xdr:colOff>
      <xdr:row>46</xdr:row>
      <xdr:rowOff>78441</xdr:rowOff>
    </xdr:to>
    <xdr:cxnSp macro="">
      <xdr:nvCxnSpPr>
        <xdr:cNvPr id="9" name="Gerade Verbindung mit Pfeil 8"/>
        <xdr:cNvCxnSpPr/>
      </xdr:nvCxnSpPr>
      <xdr:spPr>
        <a:xfrm flipH="1">
          <a:off x="12606617" y="11373970"/>
          <a:ext cx="3048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542925</xdr:colOff>
      <xdr:row>4</xdr:row>
      <xdr:rowOff>95250</xdr:rowOff>
    </xdr:from>
    <xdr:to>
      <xdr:col>9</xdr:col>
      <xdr:colOff>57150</xdr:colOff>
      <xdr:row>36</xdr:row>
      <xdr:rowOff>99988</xdr:rowOff>
    </xdr:to>
    <xdr:pic>
      <xdr:nvPicPr>
        <xdr:cNvPr id="2" name="Grafik 1"/>
        <xdr:cNvPicPr>
          <a:picLocks noChangeAspect="1"/>
        </xdr:cNvPicPr>
      </xdr:nvPicPr>
      <xdr:blipFill>
        <a:blip xmlns:r="http://schemas.openxmlformats.org/officeDocument/2006/relationships" r:embed="rId1">
          <a:duotone>
            <a:schemeClr val="accent2">
              <a:shade val="45000"/>
              <a:satMod val="135000"/>
            </a:schemeClr>
            <a:prstClr val="white"/>
          </a:duotone>
        </a:blip>
        <a:stretch>
          <a:fillRect/>
        </a:stretch>
      </xdr:blipFill>
      <xdr:spPr>
        <a:xfrm>
          <a:off x="4352925" y="742950"/>
          <a:ext cx="2562225" cy="518633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3.xml"/><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vision-doctor.de/kameraberechnungen/belichtungszeit-berechnen.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B22"/>
  <sheetViews>
    <sheetView showGridLines="0" tabSelected="1" workbookViewId="0">
      <selection activeCell="B15" sqref="B15"/>
    </sheetView>
  </sheetViews>
  <sheetFormatPr baseColWidth="10" defaultRowHeight="12.75" x14ac:dyDescent="0.2"/>
  <cols>
    <col min="1" max="1" width="9.7109375" customWidth="1"/>
    <col min="2" max="2" width="114.7109375" bestFit="1" customWidth="1"/>
  </cols>
  <sheetData>
    <row r="8" spans="2:2" x14ac:dyDescent="0.2">
      <c r="B8" s="246"/>
    </row>
    <row r="9" spans="2:2" x14ac:dyDescent="0.2">
      <c r="B9" s="247" t="s">
        <v>286</v>
      </c>
    </row>
    <row r="10" spans="2:2" x14ac:dyDescent="0.2">
      <c r="B10" s="248" t="s">
        <v>269</v>
      </c>
    </row>
    <row r="11" spans="2:2" x14ac:dyDescent="0.2">
      <c r="B11" s="246"/>
    </row>
    <row r="12" spans="2:2" x14ac:dyDescent="0.2">
      <c r="B12" s="3" t="s">
        <v>371</v>
      </c>
    </row>
    <row r="17" spans="2:2" x14ac:dyDescent="0.2">
      <c r="B17" s="298"/>
    </row>
    <row r="18" spans="2:2" x14ac:dyDescent="0.2">
      <c r="B18" s="3"/>
    </row>
    <row r="19" spans="2:2" x14ac:dyDescent="0.2">
      <c r="B19" s="3"/>
    </row>
    <row r="20" spans="2:2" x14ac:dyDescent="0.2">
      <c r="B20" s="3"/>
    </row>
    <row r="22" spans="2:2" x14ac:dyDescent="0.2">
      <c r="B22" s="3"/>
    </row>
  </sheetData>
  <pageMargins left="0.7" right="0.7" top="0.78740157499999996" bottom="0.78740157499999996"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election activeCell="G11" sqref="G11"/>
    </sheetView>
  </sheetViews>
  <sheetFormatPr baseColWidth="10" defaultRowHeight="12.75" x14ac:dyDescent="0.2"/>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tabColor rgb="FF00B0F0"/>
    <pageSetUpPr fitToPage="1"/>
  </sheetPr>
  <dimension ref="B1:P67"/>
  <sheetViews>
    <sheetView showGridLines="0" zoomScale="115" zoomScaleNormal="115" workbookViewId="0">
      <selection activeCell="E5" sqref="E5"/>
    </sheetView>
  </sheetViews>
  <sheetFormatPr baseColWidth="10" defaultRowHeight="12.75" x14ac:dyDescent="0.2"/>
  <cols>
    <col min="1" max="1" width="1.28515625" style="1" customWidth="1"/>
    <col min="2" max="2" width="1.5703125" style="1" customWidth="1"/>
    <col min="3" max="3" width="14.85546875" style="1" customWidth="1"/>
    <col min="4" max="4" width="13.5703125" style="99" customWidth="1"/>
    <col min="5" max="5" width="15" style="99" customWidth="1"/>
    <col min="6" max="6" width="0.5703125" style="99" customWidth="1"/>
    <col min="7" max="7" width="11.85546875" style="1" customWidth="1"/>
    <col min="8" max="8" width="16.5703125" style="1" customWidth="1"/>
    <col min="9" max="9" width="9.7109375" style="1" customWidth="1"/>
    <col min="10" max="10" width="22.85546875" style="1" customWidth="1"/>
    <col min="11" max="11" width="9.140625" style="1" customWidth="1"/>
    <col min="12" max="12" width="26" style="1" customWidth="1"/>
    <col min="13" max="13" width="2.85546875" style="1" customWidth="1"/>
    <col min="14" max="14" width="21.85546875" style="1" customWidth="1"/>
    <col min="15" max="15" width="5.5703125" style="1" customWidth="1"/>
    <col min="16" max="16" width="4" style="1" customWidth="1"/>
    <col min="17" max="16384" width="11.42578125" style="1"/>
  </cols>
  <sheetData>
    <row r="1" spans="2:15" ht="21" customHeight="1" x14ac:dyDescent="0.2">
      <c r="B1" s="39" t="s">
        <v>282</v>
      </c>
      <c r="G1" s="39"/>
      <c r="H1" s="39"/>
      <c r="I1" s="38"/>
      <c r="J1" s="38"/>
      <c r="K1" s="38"/>
      <c r="L1" s="261"/>
      <c r="M1" s="38"/>
      <c r="N1" s="38"/>
      <c r="O1" s="261"/>
    </row>
    <row r="2" spans="2:15" x14ac:dyDescent="0.2">
      <c r="B2" s="249"/>
      <c r="C2" s="250"/>
      <c r="D2" s="250"/>
      <c r="E2" s="250"/>
      <c r="F2" s="250"/>
      <c r="G2" s="247"/>
      <c r="H2" s="249"/>
      <c r="I2" s="249"/>
      <c r="J2" s="249"/>
      <c r="K2" s="249"/>
      <c r="L2" s="247"/>
      <c r="N2" s="249"/>
      <c r="O2" s="247"/>
    </row>
    <row r="3" spans="2:15" ht="15.75" x14ac:dyDescent="0.2">
      <c r="B3" s="325">
        <v>2</v>
      </c>
      <c r="C3" s="316" t="s">
        <v>270</v>
      </c>
      <c r="D3" s="315"/>
      <c r="E3" s="315"/>
      <c r="F3" s="315"/>
      <c r="G3" s="315"/>
      <c r="H3" s="326"/>
      <c r="I3" s="260"/>
      <c r="J3" s="260"/>
      <c r="K3" s="260"/>
      <c r="L3" s="260"/>
      <c r="M3" s="260"/>
      <c r="N3" s="260"/>
      <c r="O3" s="260"/>
    </row>
    <row r="4" spans="2:15" s="99" customFormat="1" ht="13.5" thickBot="1" x14ac:dyDescent="0.25">
      <c r="B4" s="299"/>
      <c r="C4" s="38"/>
      <c r="D4" s="38"/>
      <c r="E4" s="38"/>
      <c r="F4" s="38"/>
      <c r="G4" s="247"/>
      <c r="H4" s="305"/>
      <c r="I4" s="260"/>
      <c r="J4" s="260"/>
      <c r="K4" s="260"/>
      <c r="L4" s="260"/>
      <c r="M4" s="260"/>
      <c r="N4" s="260"/>
      <c r="O4" s="260"/>
    </row>
    <row r="5" spans="2:15" s="99" customFormat="1" ht="13.5" thickBot="1" x14ac:dyDescent="0.25">
      <c r="B5" s="299"/>
      <c r="D5" s="270" t="s">
        <v>323</v>
      </c>
      <c r="E5" s="273">
        <v>200</v>
      </c>
      <c r="F5" s="38"/>
      <c r="G5" s="247"/>
      <c r="H5" s="305"/>
      <c r="I5" s="260"/>
      <c r="J5" s="260"/>
      <c r="K5" s="260"/>
      <c r="L5" s="260"/>
      <c r="M5" s="260"/>
      <c r="N5" s="260"/>
      <c r="O5" s="260"/>
    </row>
    <row r="6" spans="2:15" s="99" customFormat="1" ht="13.5" thickBot="1" x14ac:dyDescent="0.25">
      <c r="B6" s="299"/>
      <c r="D6" s="270" t="s">
        <v>324</v>
      </c>
      <c r="E6" s="272">
        <v>0.1</v>
      </c>
      <c r="F6" s="38"/>
      <c r="G6" s="290" t="s">
        <v>326</v>
      </c>
      <c r="H6" s="306">
        <f>1/E6</f>
        <v>10</v>
      </c>
      <c r="J6" s="260"/>
      <c r="K6" s="260"/>
      <c r="L6" s="260"/>
      <c r="M6" s="260"/>
      <c r="N6" s="260"/>
      <c r="O6" s="260"/>
    </row>
    <row r="7" spans="2:15" s="99" customFormat="1" x14ac:dyDescent="0.2">
      <c r="B7" s="299"/>
      <c r="D7" s="270"/>
      <c r="E7" s="38"/>
      <c r="F7" s="38"/>
      <c r="G7" s="290" t="s">
        <v>327</v>
      </c>
      <c r="H7" s="307">
        <f>H6*1000</f>
        <v>10000</v>
      </c>
      <c r="I7" s="260"/>
      <c r="J7" s="260"/>
      <c r="K7" s="260"/>
      <c r="L7" s="260"/>
      <c r="M7" s="260"/>
      <c r="N7" s="260"/>
      <c r="O7" s="260"/>
    </row>
    <row r="8" spans="2:15" s="99" customFormat="1" x14ac:dyDescent="0.2">
      <c r="B8" s="299"/>
      <c r="C8" s="38"/>
      <c r="D8" s="38"/>
      <c r="E8" s="38"/>
      <c r="F8" s="38"/>
      <c r="G8" s="247"/>
      <c r="H8" s="305"/>
      <c r="I8" s="260"/>
      <c r="J8" s="260"/>
      <c r="K8" s="260"/>
      <c r="L8" s="260"/>
      <c r="M8" s="260"/>
      <c r="N8" s="260"/>
      <c r="O8" s="260"/>
    </row>
    <row r="9" spans="2:15" s="99" customFormat="1" x14ac:dyDescent="0.2">
      <c r="B9" s="299"/>
      <c r="C9" s="282" t="s">
        <v>313</v>
      </c>
      <c r="D9" s="38"/>
      <c r="E9" s="38"/>
      <c r="F9" s="38"/>
      <c r="G9" s="247"/>
      <c r="H9" s="305"/>
      <c r="I9" s="260"/>
      <c r="J9" s="260"/>
      <c r="K9" s="260"/>
      <c r="L9" s="260"/>
      <c r="M9" s="260"/>
      <c r="N9" s="260"/>
      <c r="O9" s="260"/>
    </row>
    <row r="10" spans="2:15" ht="6" customHeight="1" thickBot="1" x14ac:dyDescent="0.25">
      <c r="B10" s="300"/>
      <c r="C10" s="247"/>
      <c r="D10" s="247"/>
      <c r="E10" s="247"/>
      <c r="F10" s="247"/>
      <c r="G10" s="247"/>
      <c r="H10" s="305"/>
      <c r="I10" s="248"/>
      <c r="J10" s="248"/>
      <c r="K10" s="249"/>
      <c r="N10" s="249"/>
      <c r="O10" s="251"/>
    </row>
    <row r="11" spans="2:15" ht="12.75" customHeight="1" thickBot="1" x14ac:dyDescent="0.25">
      <c r="B11" s="300"/>
      <c r="D11" s="269">
        <v>200</v>
      </c>
      <c r="E11" s="268"/>
      <c r="F11" s="268"/>
      <c r="G11" s="249"/>
      <c r="H11" s="305"/>
      <c r="J11" s="249"/>
      <c r="K11" s="249"/>
      <c r="N11" s="252"/>
      <c r="O11" s="249"/>
    </row>
    <row r="12" spans="2:15" x14ac:dyDescent="0.2">
      <c r="B12" s="300"/>
      <c r="C12" s="249"/>
      <c r="D12" s="260"/>
      <c r="E12" s="260"/>
      <c r="F12" s="260"/>
      <c r="G12" s="249"/>
      <c r="H12" s="305"/>
      <c r="J12" s="249"/>
      <c r="K12" s="249"/>
      <c r="L12" s="249"/>
      <c r="M12" s="249"/>
      <c r="N12" s="249"/>
      <c r="O12" s="249"/>
    </row>
    <row r="13" spans="2:15" x14ac:dyDescent="0.2">
      <c r="B13" s="300"/>
      <c r="C13" s="253"/>
      <c r="D13" s="253"/>
      <c r="E13" s="253"/>
      <c r="F13" s="253"/>
      <c r="G13" s="253"/>
      <c r="H13" s="308"/>
      <c r="I13" s="249"/>
      <c r="J13" s="249"/>
      <c r="K13" s="249"/>
      <c r="L13" s="249"/>
      <c r="M13" s="249"/>
      <c r="N13" s="249"/>
      <c r="O13" s="249"/>
    </row>
    <row r="14" spans="2:15" x14ac:dyDescent="0.2">
      <c r="B14" s="300"/>
      <c r="C14" s="247"/>
      <c r="D14" s="247"/>
      <c r="E14" s="247"/>
      <c r="F14" s="247"/>
      <c r="G14" s="247"/>
      <c r="H14" s="308"/>
      <c r="I14" s="249"/>
      <c r="J14" s="249"/>
      <c r="K14" s="249"/>
      <c r="L14" s="249"/>
      <c r="M14" s="254"/>
      <c r="N14" s="254"/>
      <c r="O14" s="249"/>
    </row>
    <row r="15" spans="2:15" x14ac:dyDescent="0.2">
      <c r="B15" s="300"/>
      <c r="C15" s="249"/>
      <c r="D15" s="260"/>
      <c r="E15" s="260"/>
      <c r="F15" s="260"/>
      <c r="G15" s="249"/>
      <c r="H15" s="309"/>
      <c r="I15" s="249"/>
      <c r="J15" s="247"/>
      <c r="K15" s="249"/>
      <c r="L15" s="249"/>
      <c r="M15" s="249"/>
      <c r="N15" s="249"/>
      <c r="O15" s="249"/>
    </row>
    <row r="16" spans="2:15" x14ac:dyDescent="0.2">
      <c r="B16" s="300"/>
      <c r="C16" s="247"/>
      <c r="D16" s="247"/>
      <c r="E16" s="247"/>
      <c r="F16" s="247"/>
      <c r="G16" s="247"/>
      <c r="H16" s="310"/>
      <c r="I16" s="249"/>
      <c r="J16" s="249"/>
      <c r="K16" s="249"/>
      <c r="L16" s="249"/>
      <c r="M16" s="249"/>
      <c r="N16" s="249"/>
      <c r="O16" s="249"/>
    </row>
    <row r="17" spans="2:15" ht="13.5" thickBot="1" x14ac:dyDescent="0.25">
      <c r="B17" s="300"/>
      <c r="C17" s="247"/>
      <c r="D17" s="247"/>
      <c r="E17" s="247"/>
      <c r="F17" s="247"/>
      <c r="G17" s="247"/>
      <c r="H17" s="310"/>
      <c r="I17" s="249"/>
      <c r="J17" s="249"/>
      <c r="K17" s="249"/>
      <c r="L17" s="249"/>
      <c r="M17" s="249"/>
      <c r="N17" s="249"/>
      <c r="O17" s="249"/>
    </row>
    <row r="18" spans="2:15" ht="13.5" thickBot="1" x14ac:dyDescent="0.25">
      <c r="B18" s="300"/>
      <c r="C18" s="249"/>
      <c r="D18" s="260"/>
      <c r="E18" s="260"/>
      <c r="F18" s="260">
        <v>10</v>
      </c>
      <c r="G18" s="269">
        <v>150</v>
      </c>
      <c r="H18" s="308"/>
      <c r="I18" s="249"/>
      <c r="K18" s="249"/>
      <c r="L18" s="249"/>
      <c r="M18" s="249"/>
      <c r="N18" s="249"/>
      <c r="O18" s="249"/>
    </row>
    <row r="19" spans="2:15" x14ac:dyDescent="0.2">
      <c r="B19" s="300"/>
      <c r="C19" s="247"/>
      <c r="D19" s="247"/>
      <c r="E19" s="247"/>
      <c r="F19" s="247"/>
      <c r="G19" s="247"/>
      <c r="H19" s="310"/>
      <c r="I19" s="249"/>
      <c r="J19" s="249"/>
      <c r="K19" s="249"/>
      <c r="L19" s="249"/>
      <c r="M19" s="249"/>
      <c r="N19" s="249"/>
      <c r="O19" s="249"/>
    </row>
    <row r="20" spans="2:15" x14ac:dyDescent="0.2">
      <c r="B20" s="300"/>
      <c r="C20" s="247"/>
      <c r="D20" s="247"/>
      <c r="E20" s="247"/>
      <c r="F20" s="247"/>
      <c r="G20" s="247"/>
      <c r="H20" s="311"/>
      <c r="I20" s="249"/>
      <c r="J20" s="249"/>
      <c r="K20" s="249"/>
      <c r="L20" s="249"/>
      <c r="M20" s="249"/>
      <c r="N20" s="249"/>
      <c r="O20" s="249"/>
    </row>
    <row r="21" spans="2:15" x14ac:dyDescent="0.2">
      <c r="B21" s="300"/>
      <c r="C21" s="250"/>
      <c r="D21" s="250"/>
      <c r="E21" s="250"/>
      <c r="F21" s="250"/>
      <c r="G21" s="247"/>
      <c r="H21" s="311"/>
      <c r="I21" s="249"/>
      <c r="J21" s="249"/>
      <c r="K21" s="249"/>
      <c r="L21" s="249"/>
      <c r="M21" s="249"/>
      <c r="N21" s="249"/>
      <c r="O21" s="249"/>
    </row>
    <row r="22" spans="2:15" x14ac:dyDescent="0.2">
      <c r="B22" s="300"/>
      <c r="C22" s="255"/>
      <c r="D22" s="255"/>
      <c r="E22" s="255"/>
      <c r="F22" s="255"/>
      <c r="G22" s="247"/>
      <c r="H22" s="312"/>
      <c r="I22" s="249"/>
      <c r="J22" s="249"/>
      <c r="K22" s="249"/>
      <c r="L22" s="249"/>
      <c r="M22" s="249"/>
      <c r="N22" s="249"/>
      <c r="O22" s="249"/>
    </row>
    <row r="23" spans="2:15" x14ac:dyDescent="0.2">
      <c r="B23" s="300"/>
      <c r="C23" s="255"/>
      <c r="D23" s="255"/>
      <c r="E23" s="255"/>
      <c r="F23" s="255"/>
      <c r="G23" s="247"/>
      <c r="H23" s="312"/>
      <c r="I23" s="249"/>
      <c r="J23" s="249"/>
      <c r="K23" s="249"/>
      <c r="L23" s="249"/>
      <c r="M23" s="249"/>
      <c r="N23" s="249"/>
      <c r="O23" s="249"/>
    </row>
    <row r="24" spans="2:15" x14ac:dyDescent="0.2">
      <c r="B24" s="300"/>
      <c r="C24" s="256"/>
      <c r="D24" s="256"/>
      <c r="E24" s="256"/>
      <c r="F24" s="256"/>
      <c r="G24" s="257"/>
      <c r="H24" s="312"/>
      <c r="I24" s="249"/>
      <c r="J24" s="250" t="s">
        <v>308</v>
      </c>
      <c r="K24" s="249"/>
      <c r="L24" s="249"/>
      <c r="M24" s="249"/>
      <c r="N24" s="249"/>
      <c r="O24" s="249"/>
    </row>
    <row r="25" spans="2:15" x14ac:dyDescent="0.2">
      <c r="B25" s="301"/>
      <c r="C25" s="258"/>
      <c r="D25" s="258"/>
      <c r="E25" s="258"/>
      <c r="F25" s="258"/>
      <c r="G25" s="257"/>
      <c r="H25" s="312"/>
      <c r="I25" s="260"/>
      <c r="J25" s="247" t="s">
        <v>311</v>
      </c>
      <c r="K25" s="249"/>
      <c r="L25" s="249"/>
      <c r="M25" s="249"/>
      <c r="N25" s="249"/>
      <c r="O25" s="249"/>
    </row>
    <row r="26" spans="2:15" x14ac:dyDescent="0.2">
      <c r="B26" s="300"/>
      <c r="C26" s="259"/>
      <c r="D26" s="259"/>
      <c r="E26" s="259"/>
      <c r="F26" s="259"/>
      <c r="G26" s="257"/>
      <c r="H26" s="312"/>
      <c r="I26" s="260"/>
      <c r="J26" s="8"/>
      <c r="K26" s="249"/>
      <c r="L26" s="249"/>
      <c r="M26" s="249"/>
      <c r="O26" s="280" t="s">
        <v>312</v>
      </c>
    </row>
    <row r="27" spans="2:15" x14ac:dyDescent="0.2">
      <c r="B27" s="300"/>
      <c r="C27" s="258"/>
      <c r="D27" s="258"/>
      <c r="E27" s="258"/>
      <c r="F27" s="258"/>
      <c r="G27" s="257"/>
      <c r="H27" s="312"/>
      <c r="I27" s="260"/>
      <c r="L27" s="249"/>
      <c r="M27" s="249"/>
      <c r="N27" s="249"/>
      <c r="O27" s="249"/>
    </row>
    <row r="28" spans="2:15" s="99" customFormat="1" x14ac:dyDescent="0.2">
      <c r="B28" s="300"/>
      <c r="C28" s="258"/>
      <c r="D28" s="258"/>
      <c r="E28" s="258"/>
      <c r="F28" s="258"/>
      <c r="G28" s="257"/>
      <c r="H28" s="312"/>
      <c r="I28" s="260"/>
      <c r="L28" s="260"/>
      <c r="M28" s="260"/>
      <c r="N28" s="260"/>
      <c r="O28" s="260"/>
    </row>
    <row r="29" spans="2:15" s="99" customFormat="1" x14ac:dyDescent="0.2">
      <c r="B29" s="300"/>
      <c r="C29" s="258"/>
      <c r="D29" s="258"/>
      <c r="E29" s="258"/>
      <c r="F29" s="258"/>
      <c r="G29" s="257"/>
      <c r="H29" s="313"/>
      <c r="I29" s="260"/>
      <c r="J29" s="270"/>
      <c r="K29" s="260"/>
      <c r="L29" s="260"/>
      <c r="M29" s="260"/>
      <c r="N29" s="260"/>
      <c r="O29" s="260"/>
    </row>
    <row r="30" spans="2:15" s="99" customFormat="1" x14ac:dyDescent="0.2">
      <c r="B30" s="300"/>
      <c r="C30" s="258"/>
      <c r="D30" s="258"/>
      <c r="E30" s="258"/>
      <c r="F30" s="258"/>
      <c r="G30" s="257"/>
      <c r="H30" s="313"/>
      <c r="I30" s="260"/>
      <c r="J30" s="270"/>
      <c r="K30" s="260"/>
      <c r="L30" s="260"/>
      <c r="M30" s="260"/>
      <c r="N30" s="260"/>
      <c r="O30" s="260"/>
    </row>
    <row r="31" spans="2:15" s="99" customFormat="1" x14ac:dyDescent="0.2">
      <c r="B31" s="300"/>
      <c r="C31" s="271" t="s">
        <v>304</v>
      </c>
      <c r="E31" s="258"/>
      <c r="F31" s="258"/>
      <c r="G31" s="257"/>
      <c r="H31" s="313"/>
      <c r="I31" s="260"/>
      <c r="J31" s="260"/>
      <c r="K31" s="260"/>
      <c r="L31" s="260"/>
      <c r="M31" s="260"/>
      <c r="N31" s="260"/>
      <c r="O31" s="260"/>
    </row>
    <row r="32" spans="2:15" s="99" customFormat="1" x14ac:dyDescent="0.2">
      <c r="B32" s="299"/>
      <c r="C32" s="278" t="s">
        <v>305</v>
      </c>
      <c r="D32" s="8"/>
      <c r="F32" s="258"/>
      <c r="G32" s="257"/>
      <c r="H32" s="313"/>
      <c r="I32" s="260"/>
      <c r="J32" s="260"/>
      <c r="K32" s="260"/>
      <c r="L32" s="260"/>
      <c r="M32" s="260"/>
      <c r="N32" s="260"/>
      <c r="O32" s="260"/>
    </row>
    <row r="33" spans="2:16" x14ac:dyDescent="0.2">
      <c r="B33" s="300"/>
      <c r="C33" s="279" t="s">
        <v>306</v>
      </c>
      <c r="D33" s="8"/>
      <c r="E33" s="258"/>
      <c r="F33" s="258"/>
      <c r="G33" s="257"/>
      <c r="H33" s="313"/>
      <c r="I33" s="260"/>
      <c r="J33" s="247"/>
      <c r="K33" s="249"/>
      <c r="L33" s="249"/>
      <c r="M33" s="249"/>
      <c r="N33" s="249"/>
      <c r="O33" s="249"/>
    </row>
    <row r="34" spans="2:16" s="99" customFormat="1" x14ac:dyDescent="0.2">
      <c r="B34" s="300"/>
      <c r="C34" s="274"/>
      <c r="E34" s="258"/>
      <c r="F34" s="258"/>
      <c r="G34" s="257"/>
      <c r="H34" s="313"/>
      <c r="I34" s="260"/>
      <c r="J34" s="247"/>
      <c r="K34" s="260"/>
      <c r="L34" s="260"/>
      <c r="M34" s="260"/>
      <c r="N34" s="260"/>
      <c r="O34" s="260"/>
    </row>
    <row r="35" spans="2:16" s="99" customFormat="1" x14ac:dyDescent="0.2">
      <c r="B35" s="300"/>
      <c r="C35" s="274"/>
      <c r="E35" s="258"/>
      <c r="F35" s="258"/>
      <c r="G35" s="257"/>
      <c r="H35" s="313"/>
      <c r="I35" s="260"/>
      <c r="J35" s="247"/>
      <c r="K35" s="260"/>
      <c r="L35" s="260"/>
      <c r="M35" s="260"/>
      <c r="N35" s="260"/>
      <c r="O35" s="260"/>
    </row>
    <row r="36" spans="2:16" ht="13.5" thickBot="1" x14ac:dyDescent="0.25">
      <c r="B36" s="302"/>
      <c r="C36" s="303"/>
      <c r="D36" s="303"/>
      <c r="E36" s="303"/>
      <c r="F36" s="303"/>
      <c r="G36" s="304"/>
      <c r="H36" s="314"/>
      <c r="I36" s="99"/>
      <c r="J36" s="99"/>
      <c r="K36" s="99"/>
      <c r="L36" s="99"/>
      <c r="M36" s="99"/>
      <c r="N36" s="99"/>
      <c r="O36" s="99"/>
    </row>
    <row r="37" spans="2:16" s="99" customFormat="1" ht="13.5" thickTop="1" x14ac:dyDescent="0.2">
      <c r="B37" s="38"/>
      <c r="G37" s="107"/>
      <c r="H37"/>
      <c r="I37" s="38"/>
      <c r="J37" s="38"/>
      <c r="K37" s="38"/>
      <c r="L37" s="38"/>
      <c r="M37" s="38"/>
      <c r="N37" s="38"/>
      <c r="O37" s="38"/>
    </row>
    <row r="38" spans="2:16" ht="15.75" x14ac:dyDescent="0.2">
      <c r="B38" s="325"/>
      <c r="C38" s="317" t="s">
        <v>87</v>
      </c>
      <c r="D38" s="315"/>
      <c r="E38" s="315"/>
      <c r="F38" s="315"/>
      <c r="G38" s="315"/>
      <c r="H38" s="315"/>
      <c r="I38" s="315"/>
      <c r="J38" s="315"/>
      <c r="K38" s="315"/>
      <c r="L38" s="315"/>
      <c r="M38" s="315"/>
      <c r="N38" s="315"/>
      <c r="O38" s="315"/>
      <c r="P38" s="326"/>
    </row>
    <row r="39" spans="2:16" ht="6" customHeight="1" x14ac:dyDescent="0.2">
      <c r="B39" s="299"/>
      <c r="C39" s="318"/>
      <c r="D39" s="2"/>
      <c r="E39" s="2"/>
      <c r="F39" s="2"/>
      <c r="I39" s="99"/>
      <c r="P39" s="310"/>
    </row>
    <row r="40" spans="2:16" s="61" customFormat="1" ht="18.75" x14ac:dyDescent="0.2">
      <c r="B40" s="319"/>
      <c r="C40" s="135" t="s">
        <v>283</v>
      </c>
      <c r="D40" s="135"/>
      <c r="E40" s="135"/>
      <c r="F40" s="135"/>
      <c r="G40" s="286"/>
      <c r="H40" s="287" t="s">
        <v>325</v>
      </c>
      <c r="I40" s="135">
        <f>'Berechnung OpticFinder'!N10</f>
        <v>1</v>
      </c>
      <c r="J40" s="287" t="s">
        <v>7</v>
      </c>
      <c r="K40" s="135">
        <f>'Berechnung OpticFinder'!N7</f>
        <v>1</v>
      </c>
      <c r="L40" s="287" t="s">
        <v>8</v>
      </c>
      <c r="M40" s="135">
        <f>'Berechnung OpticFinder'!N8</f>
        <v>1</v>
      </c>
      <c r="N40" s="287" t="s">
        <v>9</v>
      </c>
      <c r="O40" s="135">
        <f>'Berechnung OpticFinder'!N9</f>
        <v>1</v>
      </c>
      <c r="P40" s="327"/>
    </row>
    <row r="41" spans="2:16" s="8" customFormat="1" x14ac:dyDescent="0.2">
      <c r="B41" s="320"/>
      <c r="C41" s="120" t="s">
        <v>319</v>
      </c>
      <c r="D41" s="120"/>
      <c r="E41" s="120"/>
      <c r="F41" s="120"/>
      <c r="G41" s="120"/>
      <c r="H41" s="285">
        <f>'Berechnung OpticFinder'!L203</f>
        <v>3.2</v>
      </c>
      <c r="I41" s="120"/>
      <c r="J41" s="285">
        <f>'Berechnung OpticFinder'!L200</f>
        <v>3.2</v>
      </c>
      <c r="K41" s="285"/>
      <c r="L41" s="285">
        <f>'Berechnung OpticFinder'!L201</f>
        <v>6.4</v>
      </c>
      <c r="M41" s="285"/>
      <c r="N41" s="285">
        <f>'Berechnung OpticFinder'!L202</f>
        <v>8</v>
      </c>
      <c r="O41" s="120"/>
      <c r="P41" s="312"/>
    </row>
    <row r="42" spans="2:16" s="8" customFormat="1" ht="12" customHeight="1" x14ac:dyDescent="0.2">
      <c r="B42" s="320"/>
      <c r="C42" s="120" t="s">
        <v>320</v>
      </c>
      <c r="D42" s="120"/>
      <c r="E42" s="120"/>
      <c r="F42" s="120"/>
      <c r="G42" s="120"/>
      <c r="H42" s="288">
        <f>'Berechnung OpticFinder'!J212</f>
        <v>0.31250000000000006</v>
      </c>
      <c r="I42" s="289"/>
      <c r="J42" s="288">
        <f>'Berechnung OpticFinder'!J209</f>
        <v>0.31249999999999994</v>
      </c>
      <c r="K42" s="288"/>
      <c r="L42" s="288">
        <f>'Berechnung OpticFinder'!J210</f>
        <v>0.15625</v>
      </c>
      <c r="M42" s="288"/>
      <c r="N42" s="288">
        <f>'Berechnung OpticFinder'!J211</f>
        <v>0.125</v>
      </c>
      <c r="O42" s="120"/>
      <c r="P42" s="312"/>
    </row>
    <row r="43" spans="2:16" s="8" customFormat="1" ht="12" customHeight="1" x14ac:dyDescent="0.2">
      <c r="B43" s="320"/>
      <c r="C43" s="120" t="s">
        <v>320</v>
      </c>
      <c r="D43" s="120"/>
      <c r="E43" s="120"/>
      <c r="F43" s="120"/>
      <c r="G43" s="120"/>
      <c r="H43" s="291">
        <f>H42*1000</f>
        <v>312.50000000000006</v>
      </c>
      <c r="I43" s="292"/>
      <c r="J43" s="291">
        <f>J42*1000</f>
        <v>312.49999999999994</v>
      </c>
      <c r="K43" s="291"/>
      <c r="L43" s="291">
        <f>L42*1000</f>
        <v>156.25</v>
      </c>
      <c r="M43" s="291"/>
      <c r="N43" s="291">
        <f>N42*1000</f>
        <v>125</v>
      </c>
      <c r="O43" s="293"/>
      <c r="P43" s="312"/>
    </row>
    <row r="44" spans="2:16" s="8" customFormat="1" ht="6" customHeight="1" x14ac:dyDescent="0.2">
      <c r="B44" s="320"/>
      <c r="C44" s="261"/>
      <c r="H44" s="68"/>
      <c r="I44" s="61"/>
      <c r="J44" s="68"/>
      <c r="K44" s="61"/>
      <c r="L44" s="68"/>
      <c r="M44" s="61"/>
      <c r="N44" s="68"/>
      <c r="O44" s="61"/>
      <c r="P44" s="312"/>
    </row>
    <row r="45" spans="2:16" ht="18.75" x14ac:dyDescent="0.2">
      <c r="B45" s="299"/>
      <c r="C45" s="321" t="s">
        <v>321</v>
      </c>
      <c r="D45" s="119"/>
      <c r="E45" s="119"/>
      <c r="F45" s="119"/>
      <c r="I45" s="20"/>
      <c r="J45" s="24"/>
      <c r="K45" s="20"/>
      <c r="L45" s="24"/>
      <c r="M45" s="20"/>
      <c r="N45" s="24"/>
      <c r="O45" s="20"/>
      <c r="P45" s="310"/>
    </row>
    <row r="46" spans="2:16" s="20" customFormat="1" ht="15.75" x14ac:dyDescent="0.2">
      <c r="B46" s="322"/>
      <c r="C46" s="135" t="s">
        <v>322</v>
      </c>
      <c r="D46" s="135"/>
      <c r="E46" s="135"/>
      <c r="F46" s="135"/>
      <c r="G46" s="136"/>
      <c r="H46" s="137" t="str">
        <f>'Berechnung OpticFinder'!B126</f>
        <v>8mm</v>
      </c>
      <c r="I46" s="64"/>
      <c r="J46" s="137" t="str">
        <f>'Berechnung OpticFinder'!C114</f>
        <v>4.2 mm</v>
      </c>
      <c r="K46" s="137"/>
      <c r="L46" s="137" t="str">
        <f>'Berechnung OpticFinder'!D114</f>
        <v>6,0 mm</v>
      </c>
      <c r="M46" s="137"/>
      <c r="N46" s="137" t="str">
        <f>'Berechnung OpticFinder'!E114</f>
        <v>8,0 mm</v>
      </c>
      <c r="O46" s="64"/>
      <c r="P46" s="328"/>
    </row>
    <row r="47" spans="2:16" s="8" customFormat="1" x14ac:dyDescent="0.2">
      <c r="B47" s="320"/>
      <c r="C47" s="120" t="s">
        <v>328</v>
      </c>
      <c r="D47" s="120"/>
      <c r="E47" s="120"/>
      <c r="F47" s="120"/>
      <c r="G47" s="120"/>
      <c r="H47" s="125"/>
      <c r="I47" s="133"/>
      <c r="J47" s="122" t="str">
        <f>'Berechnung OpticFinder'!C103</f>
        <v>FL-HC0416X-VG 4.2 mm</v>
      </c>
      <c r="K47" s="134"/>
      <c r="L47" s="122" t="str">
        <f>'Berechnung OpticFinder'!D103</f>
        <v>ZVL-FL-HC0614-2M 1.2/6mm</v>
      </c>
      <c r="M47" s="134"/>
      <c r="N47" s="294" t="str">
        <f>'Berechnung OpticFinder'!E103</f>
        <v>ZVL-FL-CC0814A-2M 1.5/8.0mm</v>
      </c>
      <c r="O47" s="133"/>
      <c r="P47" s="312"/>
    </row>
    <row r="48" spans="2:16" s="20" customFormat="1" ht="15.75" x14ac:dyDescent="0.2">
      <c r="B48" s="323"/>
      <c r="C48" s="135" t="s">
        <v>83</v>
      </c>
      <c r="D48" s="135"/>
      <c r="E48" s="135"/>
      <c r="F48" s="135"/>
      <c r="G48" s="135"/>
      <c r="H48" s="138"/>
      <c r="I48" s="64"/>
      <c r="J48" s="138">
        <f>'Berechnung OpticFinder'!C104</f>
        <v>11037579</v>
      </c>
      <c r="K48" s="138"/>
      <c r="L48" s="139">
        <f>'Berechnung OpticFinder'!D104</f>
        <v>11008992</v>
      </c>
      <c r="M48" s="138"/>
      <c r="N48" s="139">
        <f>'Berechnung OpticFinder'!E104</f>
        <v>11150223</v>
      </c>
      <c r="O48" s="132"/>
      <c r="P48" s="328"/>
    </row>
    <row r="49" spans="2:16" s="85" customFormat="1" ht="9" customHeight="1" x14ac:dyDescent="0.2">
      <c r="B49" s="299"/>
      <c r="C49" s="120"/>
      <c r="D49" s="120"/>
      <c r="E49" s="120"/>
      <c r="F49" s="120"/>
      <c r="G49" s="120"/>
      <c r="H49" s="122"/>
      <c r="I49" s="64"/>
      <c r="J49" s="122"/>
      <c r="K49" s="123"/>
      <c r="L49" s="122"/>
      <c r="M49" s="123"/>
      <c r="N49" s="122"/>
      <c r="O49" s="64"/>
      <c r="P49" s="310"/>
    </row>
    <row r="50" spans="2:16" ht="15.75" x14ac:dyDescent="0.2">
      <c r="B50" s="299"/>
      <c r="C50" s="120" t="s">
        <v>309</v>
      </c>
      <c r="D50" s="120"/>
      <c r="E50" s="120"/>
      <c r="F50" s="120"/>
      <c r="G50" s="120"/>
      <c r="H50" s="275">
        <f>'Berechnung OpticFinder'!G112</f>
        <v>50</v>
      </c>
      <c r="I50" s="276"/>
      <c r="J50" s="275">
        <f>'Berechnung OpticFinder'!C112</f>
        <v>200</v>
      </c>
      <c r="K50" s="275"/>
      <c r="L50" s="275">
        <f>'Berechnung OpticFinder'!D112</f>
        <v>100</v>
      </c>
      <c r="M50" s="275"/>
      <c r="N50" s="275">
        <f>'Berechnung OpticFinder'!E112</f>
        <v>100</v>
      </c>
      <c r="O50" s="63"/>
      <c r="P50" s="310"/>
    </row>
    <row r="51" spans="2:16" ht="9" customHeight="1" x14ac:dyDescent="0.2">
      <c r="B51" s="299"/>
      <c r="C51" s="120"/>
      <c r="D51" s="120"/>
      <c r="E51" s="120"/>
      <c r="F51" s="120"/>
      <c r="G51" s="120"/>
      <c r="H51" s="124"/>
      <c r="I51" s="128"/>
      <c r="J51" s="124"/>
      <c r="K51" s="129"/>
      <c r="L51" s="124"/>
      <c r="M51" s="129"/>
      <c r="N51" s="124"/>
      <c r="O51" s="64"/>
      <c r="P51" s="310"/>
    </row>
    <row r="52" spans="2:16" s="267" customFormat="1" ht="17.25" customHeight="1" x14ac:dyDescent="0.2">
      <c r="B52" s="324"/>
      <c r="C52" s="135" t="s">
        <v>307</v>
      </c>
      <c r="D52" s="135"/>
      <c r="E52" s="135"/>
      <c r="F52" s="135"/>
      <c r="G52" s="265"/>
      <c r="H52" s="266"/>
      <c r="I52" s="264"/>
      <c r="J52" s="140">
        <f>'Berechnung OpticFinder'!E164</f>
        <v>225.45535714285711</v>
      </c>
      <c r="K52" s="140"/>
      <c r="L52" s="140">
        <f>'Berechnung OpticFinder'!E165</f>
        <v>236.2</v>
      </c>
      <c r="M52" s="140"/>
      <c r="N52" s="140">
        <f>'Berechnung OpticFinder'!E166</f>
        <v>217.25454545454539</v>
      </c>
      <c r="O52" s="265"/>
      <c r="P52" s="329"/>
    </row>
    <row r="53" spans="2:16" s="20" customFormat="1" ht="15.75" x14ac:dyDescent="0.2">
      <c r="B53" s="323"/>
      <c r="C53" s="120" t="s">
        <v>84</v>
      </c>
      <c r="D53" s="120"/>
      <c r="E53" s="120"/>
      <c r="F53" s="120"/>
      <c r="G53" s="135"/>
      <c r="H53" s="124">
        <f>'Berechnung OpticFinder'!O130</f>
        <v>441.81666666666666</v>
      </c>
      <c r="I53" s="128"/>
      <c r="J53" s="124">
        <f>'Berechnung OpticFinder'!F174</f>
        <v>319.97535714285709</v>
      </c>
      <c r="K53" s="124"/>
      <c r="L53" s="124">
        <f>'Berechnung OpticFinder'!F175</f>
        <v>324.71999999999997</v>
      </c>
      <c r="M53" s="124"/>
      <c r="N53" s="124">
        <f>'Berechnung OpticFinder'!F176</f>
        <v>304.97454545454536</v>
      </c>
      <c r="O53" s="64"/>
      <c r="P53" s="328"/>
    </row>
    <row r="54" spans="2:16" ht="15.75" x14ac:dyDescent="0.2">
      <c r="B54" s="299"/>
      <c r="C54" s="120" t="s">
        <v>85</v>
      </c>
      <c r="D54" s="120"/>
      <c r="E54" s="120"/>
      <c r="F54" s="120"/>
      <c r="G54" s="120"/>
      <c r="H54" s="124">
        <f>'Berechnung OpticFinder'!N130</f>
        <v>403.81666666666666</v>
      </c>
      <c r="I54" s="128"/>
      <c r="J54" s="124">
        <f>'Berechnung OpticFinder'!E174</f>
        <v>275.7753571428571</v>
      </c>
      <c r="K54" s="124"/>
      <c r="L54" s="124">
        <f>'Berechnung OpticFinder'!E175</f>
        <v>280.52</v>
      </c>
      <c r="M54" s="124"/>
      <c r="N54" s="124">
        <f>'Berechnung OpticFinder'!E176</f>
        <v>260.77454545454538</v>
      </c>
      <c r="O54" s="64"/>
      <c r="P54" s="310"/>
    </row>
    <row r="55" spans="2:16" x14ac:dyDescent="0.2">
      <c r="B55" s="299"/>
      <c r="C55" s="120" t="s">
        <v>86</v>
      </c>
      <c r="D55" s="120"/>
      <c r="E55" s="120"/>
      <c r="F55" s="120"/>
      <c r="G55" s="120"/>
      <c r="H55" s="124"/>
      <c r="I55" s="130"/>
      <c r="J55" s="124">
        <f>'Berechnung OpticFinder'!N191</f>
        <v>219.7753571428571</v>
      </c>
      <c r="K55" s="124"/>
      <c r="L55" s="124">
        <f>'Berechnung OpticFinder'!N192</f>
        <v>230.51999999999998</v>
      </c>
      <c r="M55" s="124"/>
      <c r="N55" s="124">
        <f>'Berechnung OpticFinder'!N193</f>
        <v>210.77454545454538</v>
      </c>
      <c r="O55" s="62"/>
      <c r="P55" s="310"/>
    </row>
    <row r="56" spans="2:16" s="99" customFormat="1" x14ac:dyDescent="0.2">
      <c r="B56" s="299"/>
      <c r="C56" s="120" t="s">
        <v>166</v>
      </c>
      <c r="D56" s="120"/>
      <c r="E56" s="120"/>
      <c r="F56" s="120"/>
      <c r="G56" s="120"/>
      <c r="H56" s="131"/>
      <c r="I56" s="130"/>
      <c r="J56" s="131">
        <f>'Berechnung OpticFinder'!D174</f>
        <v>50.32</v>
      </c>
      <c r="K56" s="131"/>
      <c r="L56" s="131">
        <f>'Berechnung OpticFinder'!D175</f>
        <v>44.32</v>
      </c>
      <c r="M56" s="131"/>
      <c r="N56" s="131">
        <f>'Berechnung OpticFinder'!D176</f>
        <v>43.52</v>
      </c>
      <c r="O56" s="38"/>
      <c r="P56" s="310"/>
    </row>
    <row r="57" spans="2:16" ht="4.5" customHeight="1" x14ac:dyDescent="0.2">
      <c r="B57" s="299"/>
      <c r="C57" s="120"/>
      <c r="D57" s="120"/>
      <c r="E57" s="120"/>
      <c r="F57" s="120"/>
      <c r="G57" s="120"/>
      <c r="H57" s="120"/>
      <c r="I57" s="120"/>
      <c r="J57" s="120"/>
      <c r="K57" s="120"/>
      <c r="L57" s="120"/>
      <c r="M57" s="120"/>
      <c r="N57" s="120"/>
      <c r="O57" s="120"/>
      <c r="P57" s="310"/>
    </row>
    <row r="58" spans="2:16" s="20" customFormat="1" ht="15.75" x14ac:dyDescent="0.2">
      <c r="B58" s="323"/>
      <c r="C58" s="135" t="s">
        <v>367</v>
      </c>
      <c r="D58" s="135"/>
      <c r="E58" s="135"/>
      <c r="F58" s="135"/>
      <c r="G58" s="135"/>
      <c r="H58" s="140"/>
      <c r="I58" s="128"/>
      <c r="J58" s="138">
        <f>'Berechnung OpticFinder'!K191</f>
        <v>1</v>
      </c>
      <c r="K58" s="138"/>
      <c r="L58" s="138" t="str">
        <f>'Berechnung OpticFinder'!K192</f>
        <v/>
      </c>
      <c r="M58" s="138"/>
      <c r="N58" s="138" t="str">
        <f>'Berechnung OpticFinder'!K193</f>
        <v/>
      </c>
      <c r="O58" s="64"/>
      <c r="P58" s="328"/>
    </row>
    <row r="59" spans="2:16" s="20" customFormat="1" ht="15.75" x14ac:dyDescent="0.2">
      <c r="B59" s="323"/>
      <c r="C59" s="135" t="s">
        <v>368</v>
      </c>
      <c r="D59" s="135"/>
      <c r="E59" s="135"/>
      <c r="F59" s="135"/>
      <c r="G59" s="135"/>
      <c r="H59" s="140"/>
      <c r="I59" s="128"/>
      <c r="J59" s="138" t="str">
        <f>'Berechnung OpticFinder'!L191</f>
        <v/>
      </c>
      <c r="K59" s="138"/>
      <c r="L59" s="138">
        <f>'Berechnung OpticFinder'!L192</f>
        <v>1</v>
      </c>
      <c r="M59" s="138"/>
      <c r="N59" s="138">
        <f>'Berechnung OpticFinder'!L193</f>
        <v>1</v>
      </c>
      <c r="O59" s="64"/>
      <c r="P59" s="328"/>
    </row>
    <row r="60" spans="2:16" s="8" customFormat="1" x14ac:dyDescent="0.2">
      <c r="B60" s="320"/>
      <c r="C60" s="121" t="s">
        <v>154</v>
      </c>
      <c r="D60" s="121"/>
      <c r="E60" s="121"/>
      <c r="F60" s="121"/>
      <c r="G60" s="121"/>
      <c r="H60" s="124"/>
      <c r="I60" s="141"/>
      <c r="J60" s="124">
        <f>'Berechnung OpticFinder'!M191</f>
        <v>56</v>
      </c>
      <c r="K60" s="124"/>
      <c r="L60" s="124">
        <f>'Berechnung OpticFinder'!M192</f>
        <v>50</v>
      </c>
      <c r="M60" s="124"/>
      <c r="N60" s="124">
        <f>'Berechnung OpticFinder'!M193</f>
        <v>50</v>
      </c>
      <c r="O60" s="142"/>
      <c r="P60" s="312"/>
    </row>
    <row r="61" spans="2:16" ht="6.75" customHeight="1" x14ac:dyDescent="0.2">
      <c r="B61" s="299"/>
      <c r="C61" s="124"/>
      <c r="D61" s="124"/>
      <c r="E61" s="124"/>
      <c r="F61" s="124"/>
      <c r="G61" s="124"/>
      <c r="H61" s="124"/>
      <c r="I61" s="124"/>
      <c r="J61" s="124"/>
      <c r="K61" s="124"/>
      <c r="L61" s="124"/>
      <c r="M61" s="124"/>
      <c r="N61" s="124"/>
      <c r="O61" s="65"/>
      <c r="P61" s="310"/>
    </row>
    <row r="62" spans="2:16" s="20" customFormat="1" ht="15.75" x14ac:dyDescent="0.2">
      <c r="B62" s="323"/>
      <c r="C62" s="135" t="s">
        <v>242</v>
      </c>
      <c r="D62" s="135"/>
      <c r="E62" s="135"/>
      <c r="F62" s="135"/>
      <c r="G62" s="135"/>
      <c r="H62" s="140"/>
      <c r="I62" s="128"/>
      <c r="J62" s="137" t="str">
        <f>'Berechnung OpticFinder'!F154</f>
        <v/>
      </c>
      <c r="K62" s="137"/>
      <c r="L62" s="137" t="str">
        <f>'Berechnung OpticFinder'!F155</f>
        <v/>
      </c>
      <c r="M62" s="137"/>
      <c r="N62" s="137" t="str">
        <f>'Berechnung OpticFinder'!F156</f>
        <v/>
      </c>
      <c r="O62" s="143"/>
      <c r="P62" s="328"/>
    </row>
    <row r="63" spans="2:16" s="20" customFormat="1" ht="6.75" customHeight="1" x14ac:dyDescent="0.2">
      <c r="B63" s="323"/>
      <c r="C63" s="135"/>
      <c r="D63" s="135"/>
      <c r="E63" s="135"/>
      <c r="F63" s="135"/>
      <c r="G63" s="135"/>
      <c r="H63" s="140"/>
      <c r="I63" s="128"/>
      <c r="J63" s="137"/>
      <c r="K63" s="137"/>
      <c r="L63" s="137"/>
      <c r="M63" s="137"/>
      <c r="N63" s="137"/>
      <c r="O63" s="143"/>
      <c r="P63" s="328"/>
    </row>
    <row r="64" spans="2:16" s="20" customFormat="1" ht="15.75" x14ac:dyDescent="0.2">
      <c r="B64" s="323"/>
      <c r="C64" s="120" t="s">
        <v>314</v>
      </c>
      <c r="D64" s="120"/>
      <c r="E64" s="135"/>
      <c r="F64" s="135"/>
      <c r="G64" s="135"/>
      <c r="H64" s="124">
        <f>'Berechnung OpticFinder'!E212</f>
        <v>235.00000000000006</v>
      </c>
      <c r="I64" s="128"/>
      <c r="J64" s="124">
        <f>'Berechnung OpticFinder'!E209</f>
        <v>199.99999999999997</v>
      </c>
      <c r="K64" s="124"/>
      <c r="L64" s="124">
        <f>'Berechnung OpticFinder'!E210</f>
        <v>200</v>
      </c>
      <c r="M64" s="124"/>
      <c r="N64" s="124">
        <f>'Berechnung OpticFinder'!E211</f>
        <v>200</v>
      </c>
      <c r="O64" s="143"/>
      <c r="P64" s="328"/>
    </row>
    <row r="65" spans="2:16" ht="14.25" x14ac:dyDescent="0.2">
      <c r="B65" s="299"/>
      <c r="C65" s="120" t="s">
        <v>315</v>
      </c>
      <c r="D65" s="120"/>
      <c r="E65" s="120"/>
      <c r="F65" s="120"/>
      <c r="G65" s="120"/>
      <c r="H65" s="124">
        <f>'Berechnung OpticFinder'!F212</f>
        <v>150</v>
      </c>
      <c r="I65" s="130"/>
      <c r="J65" s="124">
        <f>'Berechnung OpticFinder'!F209</f>
        <v>150</v>
      </c>
      <c r="K65" s="124"/>
      <c r="L65" s="124">
        <f>'Berechnung OpticFinder'!F210</f>
        <v>149.99999999999997</v>
      </c>
      <c r="M65" s="124"/>
      <c r="N65" s="124">
        <f>'Berechnung OpticFinder'!F211</f>
        <v>150</v>
      </c>
      <c r="O65" s="62"/>
      <c r="P65" s="310"/>
    </row>
    <row r="66" spans="2:16" ht="13.5" thickBot="1" x14ac:dyDescent="0.25">
      <c r="B66" s="302"/>
      <c r="C66" s="303"/>
      <c r="D66" s="331"/>
      <c r="E66" s="331"/>
      <c r="F66" s="331"/>
      <c r="G66" s="331"/>
      <c r="H66" s="331"/>
      <c r="I66" s="331"/>
      <c r="J66" s="331"/>
      <c r="K66" s="331"/>
      <c r="L66" s="331"/>
      <c r="M66" s="331"/>
      <c r="N66" s="331"/>
      <c r="O66" s="331"/>
      <c r="P66" s="330"/>
    </row>
    <row r="67" spans="2:16" ht="13.5" thickTop="1" x14ac:dyDescent="0.2"/>
  </sheetData>
  <sheetProtection insertHyperlinks="0" selectLockedCells="1" sort="0" autoFilter="0"/>
  <dataConsolidate/>
  <conditionalFormatting sqref="G46">
    <cfRule type="iconSet" priority="14">
      <iconSet iconSet="5ArrowsGray" showValue="0">
        <cfvo type="percent" val="0"/>
        <cfvo type="num" val="-2" gte="0"/>
        <cfvo type="num" val="0"/>
        <cfvo type="num" val="1"/>
        <cfvo type="num" val="2"/>
      </iconSet>
    </cfRule>
  </conditionalFormatting>
  <conditionalFormatting sqref="H54">
    <cfRule type="expression" dxfId="5" priority="3">
      <formula>$H$54&lt;$H$50</formula>
    </cfRule>
  </conditionalFormatting>
  <conditionalFormatting sqref="H53">
    <cfRule type="expression" dxfId="4" priority="1">
      <formula>$H$54&lt;$H$50</formula>
    </cfRule>
  </conditionalFormatting>
  <dataValidations count="1">
    <dataValidation type="decimal" errorStyle="warning" allowBlank="1" showInputMessage="1" showErrorMessage="1" errorTitle="Out of Range" sqref="D11:F11">
      <formula1>1</formula1>
      <formula2>10000</formula2>
    </dataValidation>
  </dataValidations>
  <pageMargins left="0.70866141732283472" right="0.70866141732283472" top="0.78740157480314965" bottom="0.78740157480314965" header="0.31496062992125984" footer="0.31496062992125984"/>
  <pageSetup paperSize="9" scale="61" orientation="landscape" r:id="rId1"/>
  <headerFooter>
    <oddFooter>&amp;LVeriSens(R) Lens Calculator
(c) BODE / stmi&amp;CVersion &amp;F&amp;RPrint Date: &amp;D</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1" r:id="rId4" name="Option Button 7">
              <controlPr locked="0" defaultSize="0" autoFill="0" autoLine="0" autoPict="0">
                <anchor moveWithCells="1">
                  <from>
                    <xdr:col>3</xdr:col>
                    <xdr:colOff>885825</xdr:colOff>
                    <xdr:row>30</xdr:row>
                    <xdr:rowOff>57150</xdr:rowOff>
                  </from>
                  <to>
                    <xdr:col>6</xdr:col>
                    <xdr:colOff>285750</xdr:colOff>
                    <xdr:row>32</xdr:row>
                    <xdr:rowOff>142875</xdr:rowOff>
                  </to>
                </anchor>
              </controlPr>
            </control>
          </mc:Choice>
        </mc:AlternateContent>
        <mc:AlternateContent xmlns:mc="http://schemas.openxmlformats.org/markup-compatibility/2006">
          <mc:Choice Requires="x14">
            <control shapeId="1032" r:id="rId5" name="Option Button 8">
              <controlPr locked="0" defaultSize="0" autoFill="0" autoLine="0" autoPict="0">
                <anchor moveWithCells="1">
                  <from>
                    <xdr:col>3</xdr:col>
                    <xdr:colOff>876300</xdr:colOff>
                    <xdr:row>31</xdr:row>
                    <xdr:rowOff>161925</xdr:rowOff>
                  </from>
                  <to>
                    <xdr:col>6</xdr:col>
                    <xdr:colOff>276225</xdr:colOff>
                    <xdr:row>34</xdr:row>
                    <xdr:rowOff>66675</xdr:rowOff>
                  </to>
                </anchor>
              </controlPr>
            </control>
          </mc:Choice>
        </mc:AlternateContent>
        <mc:AlternateContent xmlns:mc="http://schemas.openxmlformats.org/markup-compatibility/2006">
          <mc:Choice Requires="x14">
            <control shapeId="1033" r:id="rId6" name="Option Button 9">
              <controlPr locked="0" defaultSize="0" autoFill="0" autoLine="0" autoPict="0">
                <anchor moveWithCells="1">
                  <from>
                    <xdr:col>3</xdr:col>
                    <xdr:colOff>876300</xdr:colOff>
                    <xdr:row>33</xdr:row>
                    <xdr:rowOff>66675</xdr:rowOff>
                  </from>
                  <to>
                    <xdr:col>6</xdr:col>
                    <xdr:colOff>276225</xdr:colOff>
                    <xdr:row>35</xdr:row>
                    <xdr:rowOff>161925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iconSet" priority="63" id="{CF097A30-FE23-4DA4-815F-AB314F6F2403}">
            <x14:iconSet iconSet="3Symbols2" showValue="0" custom="1">
              <x14:cfvo type="percent">
                <xm:f>0</xm:f>
              </x14:cfvo>
              <x14:cfvo type="num">
                <xm:f>0</xm:f>
              </x14:cfvo>
              <x14:cfvo type="num">
                <xm:f>1</xm:f>
              </x14:cfvo>
              <x14:cfIcon iconSet="NoIcons" iconId="0"/>
              <x14:cfIcon iconSet="3Symbols2" iconId="0"/>
              <x14:cfIcon iconSet="3Symbols2" iconId="2"/>
            </x14:iconSet>
          </x14:cfRule>
          <xm:sqref>K40 K47 K51 K44:K45</xm:sqref>
        </x14:conditionalFormatting>
        <x14:conditionalFormatting xmlns:xm="http://schemas.microsoft.com/office/excel/2006/main">
          <x14:cfRule type="iconSet" priority="65" id="{021D3957-58D2-4D1D-A7C4-33D5344D5B2A}">
            <x14:iconSet iconSet="3Symbols2" showValue="0" custom="1">
              <x14:cfvo type="percent">
                <xm:f>0</xm:f>
              </x14:cfvo>
              <x14:cfvo type="num">
                <xm:f>0</xm:f>
              </x14:cfvo>
              <x14:cfvo type="num">
                <xm:f>1</xm:f>
              </x14:cfvo>
              <x14:cfIcon iconSet="NoIcons" iconId="0"/>
              <x14:cfIcon iconSet="3Symbols2" iconId="0"/>
              <x14:cfIcon iconSet="3Symbols2" iconId="2"/>
            </x14:iconSet>
          </x14:cfRule>
          <xm:sqref>M40 M47 M51 M44:M45</xm:sqref>
        </x14:conditionalFormatting>
        <x14:conditionalFormatting xmlns:xm="http://schemas.microsoft.com/office/excel/2006/main">
          <x14:cfRule type="iconSet" priority="67" id="{B30C012C-66CB-4D51-A0FF-6AB6CE7C1C4F}">
            <x14:iconSet iconSet="3Symbols2" showValue="0" custom="1">
              <x14:cfvo type="percent">
                <xm:f>0</xm:f>
              </x14:cfvo>
              <x14:cfvo type="num">
                <xm:f>0</xm:f>
              </x14:cfvo>
              <x14:cfvo type="num">
                <xm:f>1</xm:f>
              </x14:cfvo>
              <x14:cfIcon iconSet="NoIcons" iconId="0"/>
              <x14:cfIcon iconSet="3Symbols2" iconId="0"/>
              <x14:cfIcon iconSet="3Symbols2" iconId="2"/>
            </x14:iconSet>
          </x14:cfRule>
          <xm:sqref>I40:I41 I50:I52 I54 I44:I48</xm:sqref>
        </x14:conditionalFormatting>
        <x14:conditionalFormatting xmlns:xm="http://schemas.microsoft.com/office/excel/2006/main">
          <x14:cfRule type="iconSet" priority="7" id="{673FC09C-F43B-4128-BADB-4855777A917D}">
            <x14:iconSet iconSet="3Symbols2" showValue="0" custom="1">
              <x14:cfvo type="percent">
                <xm:f>0</xm:f>
              </x14:cfvo>
              <x14:cfvo type="num">
                <xm:f>0</xm:f>
              </x14:cfvo>
              <x14:cfvo type="num">
                <xm:f>1</xm:f>
              </x14:cfvo>
              <x14:cfIcon iconSet="NoIcons" iconId="0"/>
              <x14:cfIcon iconSet="3Symbols2" iconId="0"/>
              <x14:cfIcon iconSet="3Symbols2" iconId="2"/>
            </x14:iconSet>
          </x14:cfRule>
          <xm:sqref>K49</xm:sqref>
        </x14:conditionalFormatting>
        <x14:conditionalFormatting xmlns:xm="http://schemas.microsoft.com/office/excel/2006/main">
          <x14:cfRule type="iconSet" priority="8" id="{716280C6-51DA-4D12-B9DC-791526C894F4}">
            <x14:iconSet iconSet="3Symbols2" showValue="0" custom="1">
              <x14:cfvo type="percent">
                <xm:f>0</xm:f>
              </x14:cfvo>
              <x14:cfvo type="num">
                <xm:f>0</xm:f>
              </x14:cfvo>
              <x14:cfvo type="num">
                <xm:f>1</xm:f>
              </x14:cfvo>
              <x14:cfIcon iconSet="NoIcons" iconId="0"/>
              <x14:cfIcon iconSet="3Symbols2" iconId="0"/>
              <x14:cfIcon iconSet="3Symbols2" iconId="2"/>
            </x14:iconSet>
          </x14:cfRule>
          <xm:sqref>M49</xm:sqref>
        </x14:conditionalFormatting>
        <x14:conditionalFormatting xmlns:xm="http://schemas.microsoft.com/office/excel/2006/main">
          <x14:cfRule type="iconSet" priority="9" id="{E842B648-0BB1-46F1-AB00-B2D2A9EAE1F5}">
            <x14:iconSet iconSet="3Symbols2" showValue="0" custom="1">
              <x14:cfvo type="percent">
                <xm:f>0</xm:f>
              </x14:cfvo>
              <x14:cfvo type="num">
                <xm:f>0</xm:f>
              </x14:cfvo>
              <x14:cfvo type="num">
                <xm:f>1</xm:f>
              </x14:cfvo>
              <x14:cfIcon iconSet="NoIcons" iconId="0"/>
              <x14:cfIcon iconSet="3Symbols2" iconId="0"/>
              <x14:cfIcon iconSet="3Symbols2" iconId="2"/>
            </x14:iconSet>
          </x14:cfRule>
          <xm:sqref>I49</xm:sqref>
        </x14:conditionalFormatting>
        <x14:conditionalFormatting xmlns:xm="http://schemas.microsoft.com/office/excel/2006/main">
          <x14:cfRule type="iconSet" priority="2" id="{85944CB0-65C5-41F6-B826-8AE365F52943}">
            <x14:iconSet iconSet="3Symbols2" showValue="0" custom="1">
              <x14:cfvo type="percent">
                <xm:f>0</xm:f>
              </x14:cfvo>
              <x14:cfvo type="num">
                <xm:f>0</xm:f>
              </x14:cfvo>
              <x14:cfvo type="num">
                <xm:f>1</xm:f>
              </x14:cfvo>
              <x14:cfIcon iconSet="NoIcons" iconId="0"/>
              <x14:cfIcon iconSet="3Symbols2" iconId="0"/>
              <x14:cfIcon iconSet="3Symbols2" iconId="2"/>
            </x14:iconSet>
          </x14:cfRule>
          <xm:sqref>I53</xm:sqref>
        </x14:conditionalFormatting>
        <x14:conditionalFormatting xmlns:xm="http://schemas.microsoft.com/office/excel/2006/main">
          <x14:cfRule type="iconSet" priority="82" id="{7E069F72-CDE2-485C-85EC-453748086832}">
            <x14:iconSet iconSet="3Symbols2" showValue="0" custom="1">
              <x14:cfvo type="percent">
                <xm:f>0</xm:f>
              </x14:cfvo>
              <x14:cfvo type="num">
                <xm:f>0</xm:f>
              </x14:cfvo>
              <x14:cfvo type="num">
                <xm:f>1</xm:f>
              </x14:cfvo>
              <x14:cfIcon iconSet="NoIcons" iconId="0"/>
              <x14:cfIcon iconSet="3Symbols2" iconId="0"/>
              <x14:cfIcon iconSet="3Symbols2" iconId="2"/>
            </x14:iconSet>
          </x14:cfRule>
          <xm:sqref>O51:O54 O40:O47</xm:sqref>
        </x14:conditionalFormatting>
        <x14:conditionalFormatting xmlns:xm="http://schemas.microsoft.com/office/excel/2006/main">
          <x14:cfRule type="iconSet" priority="84" id="{FCE23DBE-F172-4704-9A19-26F12147606C}">
            <x14:iconSet iconSet="3Symbols2" showValue="0" custom="1">
              <x14:cfvo type="percent">
                <xm:f>0</xm:f>
              </x14:cfvo>
              <x14:cfvo type="num">
                <xm:f>0</xm:f>
              </x14:cfvo>
              <x14:cfvo type="num">
                <xm:f>1</xm:f>
              </x14:cfvo>
              <x14:cfIcon iconSet="NoIcons" iconId="0"/>
              <x14:cfIcon iconSet="3Symbols2" iconId="0"/>
              <x14:cfIcon iconSet="3Symbols2" iconId="2"/>
            </x14:iconSet>
          </x14:cfRule>
          <xm:sqref>O49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tabColor rgb="FF002060"/>
  </sheetPr>
  <dimension ref="B1:Z46"/>
  <sheetViews>
    <sheetView showGridLines="0" zoomScale="130" zoomScaleNormal="130" workbookViewId="0"/>
  </sheetViews>
  <sheetFormatPr baseColWidth="10" defaultRowHeight="12.75" x14ac:dyDescent="0.2"/>
  <cols>
    <col min="1" max="1" width="1.28515625" style="144" customWidth="1"/>
    <col min="2" max="2" width="19.140625" style="144" customWidth="1"/>
    <col min="3" max="3" width="9.28515625" style="144" customWidth="1"/>
    <col min="4" max="4" width="5.28515625" style="144" customWidth="1"/>
    <col min="5" max="5" width="11.42578125" style="144" customWidth="1"/>
    <col min="6" max="6" width="14.42578125" style="144" customWidth="1"/>
    <col min="7" max="7" width="11.42578125" style="144" customWidth="1"/>
    <col min="8" max="10" width="11.42578125" style="144"/>
    <col min="11" max="11" width="12.5703125" style="144" customWidth="1"/>
    <col min="12" max="12" width="5" style="144" customWidth="1"/>
    <col min="13" max="15" width="11.42578125" style="144"/>
    <col min="16" max="16" width="4.140625" style="144" customWidth="1"/>
    <col min="17" max="17" width="3" style="144" customWidth="1"/>
    <col min="18" max="25" width="3.85546875" style="144" customWidth="1"/>
    <col min="26" max="16384" width="11.42578125" style="144"/>
  </cols>
  <sheetData>
    <row r="1" spans="2:26" ht="18.75" x14ac:dyDescent="0.2">
      <c r="B1" s="39" t="s">
        <v>284</v>
      </c>
      <c r="M1" s="150"/>
    </row>
    <row r="2" spans="2:26" x14ac:dyDescent="0.2">
      <c r="M2" s="150"/>
    </row>
    <row r="3" spans="2:26" x14ac:dyDescent="0.2">
      <c r="L3" s="245">
        <v>3</v>
      </c>
      <c r="Q3" s="145"/>
      <c r="S3" s="152"/>
      <c r="Z3" s="145"/>
    </row>
    <row r="4" spans="2:26" x14ac:dyDescent="0.2">
      <c r="C4" s="148"/>
      <c r="L4" s="245">
        <v>1</v>
      </c>
      <c r="Q4" s="145"/>
    </row>
    <row r="5" spans="2:26" x14ac:dyDescent="0.2">
      <c r="L5" s="245">
        <v>2</v>
      </c>
      <c r="Q5" s="145"/>
    </row>
    <row r="6" spans="2:26" x14ac:dyDescent="0.2">
      <c r="L6" s="245">
        <v>1</v>
      </c>
      <c r="Q6" s="145"/>
    </row>
    <row r="7" spans="2:26" x14ac:dyDescent="0.2">
      <c r="L7" s="245">
        <v>1</v>
      </c>
      <c r="O7" s="149"/>
      <c r="P7" s="149"/>
      <c r="Q7" s="145"/>
    </row>
    <row r="8" spans="2:26" x14ac:dyDescent="0.2">
      <c r="L8" s="245">
        <v>1</v>
      </c>
      <c r="P8" s="150"/>
      <c r="Q8" s="150"/>
    </row>
    <row r="9" spans="2:26" ht="73.5" customHeight="1" x14ac:dyDescent="0.2">
      <c r="L9" s="245">
        <v>2</v>
      </c>
      <c r="P9" s="150"/>
      <c r="Q9" s="150"/>
    </row>
    <row r="10" spans="2:26" x14ac:dyDescent="0.2">
      <c r="C10" s="148"/>
      <c r="M10" s="150"/>
      <c r="P10" s="150"/>
      <c r="Q10" s="150"/>
    </row>
    <row r="11" spans="2:26" x14ac:dyDescent="0.2">
      <c r="M11" s="150"/>
      <c r="P11" s="150"/>
      <c r="Q11" s="150"/>
      <c r="R11" s="145"/>
      <c r="S11" s="145"/>
      <c r="T11" s="151"/>
      <c r="U11" s="145"/>
      <c r="V11" s="145"/>
      <c r="W11" s="145"/>
      <c r="X11" s="145"/>
      <c r="Y11" s="145"/>
    </row>
    <row r="12" spans="2:26" x14ac:dyDescent="0.2">
      <c r="M12" s="150"/>
      <c r="P12" s="150"/>
      <c r="Q12" s="150"/>
      <c r="R12" s="145"/>
      <c r="S12" s="145"/>
      <c r="T12" s="151"/>
      <c r="U12" s="145"/>
      <c r="V12" s="145"/>
      <c r="W12" s="145"/>
      <c r="X12" s="145"/>
      <c r="Y12" s="145"/>
    </row>
    <row r="13" spans="2:26" x14ac:dyDescent="0.2">
      <c r="M13" s="150"/>
      <c r="P13" s="150"/>
      <c r="Q13" s="150"/>
    </row>
    <row r="14" spans="2:26" x14ac:dyDescent="0.2">
      <c r="M14" s="150"/>
      <c r="P14" s="150"/>
      <c r="Q14" s="150"/>
    </row>
    <row r="15" spans="2:26" x14ac:dyDescent="0.2">
      <c r="M15" s="150"/>
      <c r="O15" s="149"/>
      <c r="P15" s="150"/>
      <c r="Q15" s="150"/>
    </row>
    <row r="16" spans="2:26" x14ac:dyDescent="0.2">
      <c r="O16" s="149"/>
      <c r="P16" s="150"/>
      <c r="Q16" s="150"/>
    </row>
    <row r="17" spans="2:16" x14ac:dyDescent="0.2">
      <c r="O17" s="149"/>
      <c r="P17" s="149"/>
    </row>
    <row r="20" spans="2:16" x14ac:dyDescent="0.2">
      <c r="C20" s="148"/>
    </row>
    <row r="25" spans="2:16" x14ac:dyDescent="0.2">
      <c r="O25" s="147"/>
    </row>
    <row r="26" spans="2:16" ht="18" x14ac:dyDescent="0.25">
      <c r="B26" s="244" t="s">
        <v>169</v>
      </c>
      <c r="O26" s="145"/>
    </row>
    <row r="27" spans="2:16" x14ac:dyDescent="0.2">
      <c r="D27" s="146"/>
      <c r="O27" s="145"/>
    </row>
    <row r="28" spans="2:16" s="230" customFormat="1" ht="15" x14ac:dyDescent="0.2">
      <c r="B28" s="231" t="s">
        <v>168</v>
      </c>
      <c r="C28" s="231" t="str">
        <f>'Berechnung IlluFinder'!B41</f>
        <v>(1) Backlight</v>
      </c>
      <c r="D28" s="231"/>
      <c r="E28" s="231"/>
      <c r="F28" s="232"/>
      <c r="G28" s="232"/>
      <c r="H28" s="232"/>
      <c r="I28" s="232"/>
      <c r="J28" s="232"/>
      <c r="K28" s="232"/>
      <c r="L28" s="232"/>
      <c r="M28" s="232"/>
      <c r="N28" s="144"/>
    </row>
    <row r="29" spans="2:16" s="230" customFormat="1" ht="3" customHeight="1" x14ac:dyDescent="0.2">
      <c r="B29" s="233"/>
      <c r="C29" s="233"/>
      <c r="D29" s="233"/>
      <c r="E29" s="233"/>
      <c r="F29" s="234"/>
      <c r="G29" s="234"/>
      <c r="H29" s="234"/>
      <c r="I29" s="234"/>
      <c r="J29" s="234"/>
      <c r="K29" s="234"/>
      <c r="L29" s="234"/>
      <c r="M29" s="234"/>
      <c r="N29" s="144"/>
    </row>
    <row r="30" spans="2:16" s="229" customFormat="1" ht="15" x14ac:dyDescent="0.2">
      <c r="B30" s="231" t="s">
        <v>167</v>
      </c>
      <c r="C30" s="231" t="str">
        <f>'Berechnung IlluFinder'!F41</f>
        <v>(1) Durchlicht / Backlight</v>
      </c>
      <c r="D30" s="235"/>
      <c r="E30" s="231"/>
      <c r="F30" s="231"/>
      <c r="G30" s="231"/>
      <c r="H30" s="231"/>
      <c r="I30" s="231"/>
      <c r="J30" s="231"/>
      <c r="K30" s="231"/>
      <c r="L30" s="231"/>
      <c r="M30" s="231"/>
      <c r="N30" s="144"/>
    </row>
    <row r="31" spans="2:16" ht="38.25" customHeight="1" x14ac:dyDescent="0.2"/>
    <row r="32" spans="2:16" x14ac:dyDescent="0.2">
      <c r="C32" s="242" t="s">
        <v>190</v>
      </c>
      <c r="F32" s="243" t="s">
        <v>192</v>
      </c>
      <c r="I32" s="243" t="s">
        <v>186</v>
      </c>
      <c r="M32" s="243" t="s">
        <v>181</v>
      </c>
    </row>
    <row r="46" spans="3:7" x14ac:dyDescent="0.2">
      <c r="C46" s="243" t="s">
        <v>184</v>
      </c>
      <c r="G46" s="243" t="s">
        <v>268</v>
      </c>
    </row>
  </sheetData>
  <pageMargins left="0.70866141732283472" right="0.70866141732283472" top="0.78740157480314965" bottom="0.78740157480314965" header="0.31496062992125984" footer="0.31496062992125984"/>
  <pageSetup paperSize="9"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Option Button 1">
              <controlPr defaultSize="0" autoFill="0" autoLine="0" autoPict="0">
                <anchor moveWithCells="1">
                  <from>
                    <xdr:col>6</xdr:col>
                    <xdr:colOff>390525</xdr:colOff>
                    <xdr:row>3</xdr:row>
                    <xdr:rowOff>123825</xdr:rowOff>
                  </from>
                  <to>
                    <xdr:col>8</xdr:col>
                    <xdr:colOff>47625</xdr:colOff>
                    <xdr:row>5</xdr:row>
                    <xdr:rowOff>19050</xdr:rowOff>
                  </to>
                </anchor>
              </controlPr>
            </control>
          </mc:Choice>
        </mc:AlternateContent>
        <mc:AlternateContent xmlns:mc="http://schemas.openxmlformats.org/markup-compatibility/2006">
          <mc:Choice Requires="x14">
            <control shapeId="9218" r:id="rId5" name="Option Button 2">
              <controlPr defaultSize="0" autoFill="0" autoLine="0" autoPict="0">
                <anchor moveWithCells="1">
                  <from>
                    <xdr:col>6</xdr:col>
                    <xdr:colOff>400050</xdr:colOff>
                    <xdr:row>7</xdr:row>
                    <xdr:rowOff>66675</xdr:rowOff>
                  </from>
                  <to>
                    <xdr:col>8</xdr:col>
                    <xdr:colOff>314325</xdr:colOff>
                    <xdr:row>8</xdr:row>
                    <xdr:rowOff>152400</xdr:rowOff>
                  </to>
                </anchor>
              </controlPr>
            </control>
          </mc:Choice>
        </mc:AlternateContent>
        <mc:AlternateContent xmlns:mc="http://schemas.openxmlformats.org/markup-compatibility/2006">
          <mc:Choice Requires="x14">
            <control shapeId="9219" r:id="rId6" name="Group Box 3">
              <controlPr defaultSize="0" autoFill="0" autoPict="0" altText="">
                <anchor moveWithCells="1">
                  <from>
                    <xdr:col>1</xdr:col>
                    <xdr:colOff>47625</xdr:colOff>
                    <xdr:row>2</xdr:row>
                    <xdr:rowOff>28575</xdr:rowOff>
                  </from>
                  <to>
                    <xdr:col>6</xdr:col>
                    <xdr:colOff>219075</xdr:colOff>
                    <xdr:row>24</xdr:row>
                    <xdr:rowOff>152400</xdr:rowOff>
                  </to>
                </anchor>
              </controlPr>
            </control>
          </mc:Choice>
        </mc:AlternateContent>
        <mc:AlternateContent xmlns:mc="http://schemas.openxmlformats.org/markup-compatibility/2006">
          <mc:Choice Requires="x14">
            <control shapeId="9220" r:id="rId7" name="Option Button 4">
              <controlPr defaultSize="0" autoFill="0" autoLine="0" autoPict="0">
                <anchor moveWithCells="1">
                  <from>
                    <xdr:col>8</xdr:col>
                    <xdr:colOff>676275</xdr:colOff>
                    <xdr:row>3</xdr:row>
                    <xdr:rowOff>28575</xdr:rowOff>
                  </from>
                  <to>
                    <xdr:col>10</xdr:col>
                    <xdr:colOff>790575</xdr:colOff>
                    <xdr:row>4</xdr:row>
                    <xdr:rowOff>76200</xdr:rowOff>
                  </to>
                </anchor>
              </controlPr>
            </control>
          </mc:Choice>
        </mc:AlternateContent>
        <mc:AlternateContent xmlns:mc="http://schemas.openxmlformats.org/markup-compatibility/2006">
          <mc:Choice Requires="x14">
            <control shapeId="9221" r:id="rId8" name="Group Box 5">
              <controlPr defaultSize="0" autoFill="0" autoPict="0">
                <anchor moveWithCells="1">
                  <from>
                    <xdr:col>8</xdr:col>
                    <xdr:colOff>600075</xdr:colOff>
                    <xdr:row>2</xdr:row>
                    <xdr:rowOff>38100</xdr:rowOff>
                  </from>
                  <to>
                    <xdr:col>10</xdr:col>
                    <xdr:colOff>819150</xdr:colOff>
                    <xdr:row>8</xdr:row>
                    <xdr:rowOff>333375</xdr:rowOff>
                  </to>
                </anchor>
              </controlPr>
            </control>
          </mc:Choice>
        </mc:AlternateContent>
        <mc:AlternateContent xmlns:mc="http://schemas.openxmlformats.org/markup-compatibility/2006">
          <mc:Choice Requires="x14">
            <control shapeId="9222" r:id="rId9" name="Option Button 6">
              <controlPr defaultSize="0" autoFill="0" autoLine="0" autoPict="0">
                <anchor moveWithCells="1">
                  <from>
                    <xdr:col>6</xdr:col>
                    <xdr:colOff>409575</xdr:colOff>
                    <xdr:row>8</xdr:row>
                    <xdr:rowOff>752475</xdr:rowOff>
                  </from>
                  <to>
                    <xdr:col>8</xdr:col>
                    <xdr:colOff>476250</xdr:colOff>
                    <xdr:row>9</xdr:row>
                    <xdr:rowOff>47625</xdr:rowOff>
                  </to>
                </anchor>
              </controlPr>
            </control>
          </mc:Choice>
        </mc:AlternateContent>
        <mc:AlternateContent xmlns:mc="http://schemas.openxmlformats.org/markup-compatibility/2006">
          <mc:Choice Requires="x14">
            <control shapeId="9223" r:id="rId10" name="Option Button 7">
              <controlPr defaultSize="0" autoFill="0" autoLine="0" autoPict="0">
                <anchor moveWithCells="1">
                  <from>
                    <xdr:col>6</xdr:col>
                    <xdr:colOff>409575</xdr:colOff>
                    <xdr:row>11</xdr:row>
                    <xdr:rowOff>28575</xdr:rowOff>
                  </from>
                  <to>
                    <xdr:col>8</xdr:col>
                    <xdr:colOff>457200</xdr:colOff>
                    <xdr:row>12</xdr:row>
                    <xdr:rowOff>76200</xdr:rowOff>
                  </to>
                </anchor>
              </controlPr>
            </control>
          </mc:Choice>
        </mc:AlternateContent>
        <mc:AlternateContent xmlns:mc="http://schemas.openxmlformats.org/markup-compatibility/2006">
          <mc:Choice Requires="x14">
            <control shapeId="9224" r:id="rId11" name="Option Button 8">
              <controlPr defaultSize="0" autoFill="0" autoLine="0" autoPict="0">
                <anchor moveWithCells="1">
                  <from>
                    <xdr:col>8</xdr:col>
                    <xdr:colOff>695325</xdr:colOff>
                    <xdr:row>8</xdr:row>
                    <xdr:rowOff>676275</xdr:rowOff>
                  </from>
                  <to>
                    <xdr:col>10</xdr:col>
                    <xdr:colOff>304800</xdr:colOff>
                    <xdr:row>8</xdr:row>
                    <xdr:rowOff>885825</xdr:rowOff>
                  </to>
                </anchor>
              </controlPr>
            </control>
          </mc:Choice>
        </mc:AlternateContent>
        <mc:AlternateContent xmlns:mc="http://schemas.openxmlformats.org/markup-compatibility/2006">
          <mc:Choice Requires="x14">
            <control shapeId="9225" r:id="rId12" name="Group Box 9">
              <controlPr defaultSize="0" autoFill="0" autoPict="0">
                <anchor moveWithCells="1">
                  <from>
                    <xdr:col>6</xdr:col>
                    <xdr:colOff>323850</xdr:colOff>
                    <xdr:row>8</xdr:row>
                    <xdr:rowOff>676275</xdr:rowOff>
                  </from>
                  <to>
                    <xdr:col>8</xdr:col>
                    <xdr:colOff>523875</xdr:colOff>
                    <xdr:row>14</xdr:row>
                    <xdr:rowOff>142875</xdr:rowOff>
                  </to>
                </anchor>
              </controlPr>
            </control>
          </mc:Choice>
        </mc:AlternateContent>
        <mc:AlternateContent xmlns:mc="http://schemas.openxmlformats.org/markup-compatibility/2006">
          <mc:Choice Requires="x14">
            <control shapeId="9226" r:id="rId13" name="Group Box 10">
              <controlPr defaultSize="0" autoFill="0" autoPict="0">
                <anchor moveWithCells="1">
                  <from>
                    <xdr:col>8</xdr:col>
                    <xdr:colOff>628650</xdr:colOff>
                    <xdr:row>8</xdr:row>
                    <xdr:rowOff>600075</xdr:rowOff>
                  </from>
                  <to>
                    <xdr:col>11</xdr:col>
                    <xdr:colOff>0</xdr:colOff>
                    <xdr:row>10</xdr:row>
                    <xdr:rowOff>76200</xdr:rowOff>
                  </to>
                </anchor>
              </controlPr>
            </control>
          </mc:Choice>
        </mc:AlternateContent>
        <mc:AlternateContent xmlns:mc="http://schemas.openxmlformats.org/markup-compatibility/2006">
          <mc:Choice Requires="x14">
            <control shapeId="9227" r:id="rId14" name="Option Button 11">
              <controlPr defaultSize="0" autoFill="0" autoLine="0" autoPict="0">
                <anchor moveWithCells="1">
                  <from>
                    <xdr:col>6</xdr:col>
                    <xdr:colOff>419100</xdr:colOff>
                    <xdr:row>16</xdr:row>
                    <xdr:rowOff>123825</xdr:rowOff>
                  </from>
                  <to>
                    <xdr:col>7</xdr:col>
                    <xdr:colOff>447675</xdr:colOff>
                    <xdr:row>18</xdr:row>
                    <xdr:rowOff>19050</xdr:rowOff>
                  </to>
                </anchor>
              </controlPr>
            </control>
          </mc:Choice>
        </mc:AlternateContent>
        <mc:AlternateContent xmlns:mc="http://schemas.openxmlformats.org/markup-compatibility/2006">
          <mc:Choice Requires="x14">
            <control shapeId="9228" r:id="rId15" name="Option Button 12">
              <controlPr defaultSize="0" autoFill="0" autoLine="0" autoPict="0">
                <anchor moveWithCells="1">
                  <from>
                    <xdr:col>8</xdr:col>
                    <xdr:colOff>733425</xdr:colOff>
                    <xdr:row>17</xdr:row>
                    <xdr:rowOff>123825</xdr:rowOff>
                  </from>
                  <to>
                    <xdr:col>10</xdr:col>
                    <xdr:colOff>790575</xdr:colOff>
                    <xdr:row>19</xdr:row>
                    <xdr:rowOff>0</xdr:rowOff>
                  </to>
                </anchor>
              </controlPr>
            </control>
          </mc:Choice>
        </mc:AlternateContent>
        <mc:AlternateContent xmlns:mc="http://schemas.openxmlformats.org/markup-compatibility/2006">
          <mc:Choice Requires="x14">
            <control shapeId="9229" r:id="rId16" name="Option Button 13">
              <controlPr defaultSize="0" autoFill="0" autoLine="0" autoPict="0">
                <anchor moveWithCells="1">
                  <from>
                    <xdr:col>8</xdr:col>
                    <xdr:colOff>733425</xdr:colOff>
                    <xdr:row>19</xdr:row>
                    <xdr:rowOff>9525</xdr:rowOff>
                  </from>
                  <to>
                    <xdr:col>10</xdr:col>
                    <xdr:colOff>371475</xdr:colOff>
                    <xdr:row>20</xdr:row>
                    <xdr:rowOff>66675</xdr:rowOff>
                  </to>
                </anchor>
              </controlPr>
            </control>
          </mc:Choice>
        </mc:AlternateContent>
        <mc:AlternateContent xmlns:mc="http://schemas.openxmlformats.org/markup-compatibility/2006">
          <mc:Choice Requires="x14">
            <control shapeId="9230" r:id="rId17" name="Group Box 14">
              <controlPr defaultSize="0" autoFill="0" autoPict="0">
                <anchor moveWithCells="1">
                  <from>
                    <xdr:col>8</xdr:col>
                    <xdr:colOff>628650</xdr:colOff>
                    <xdr:row>17</xdr:row>
                    <xdr:rowOff>66675</xdr:rowOff>
                  </from>
                  <to>
                    <xdr:col>11</xdr:col>
                    <xdr:colOff>0</xdr:colOff>
                    <xdr:row>20</xdr:row>
                    <xdr:rowOff>123825</xdr:rowOff>
                  </to>
                </anchor>
              </controlPr>
            </control>
          </mc:Choice>
        </mc:AlternateContent>
        <mc:AlternateContent xmlns:mc="http://schemas.openxmlformats.org/markup-compatibility/2006">
          <mc:Choice Requires="x14">
            <control shapeId="9231" r:id="rId18" name="Group Box 15">
              <controlPr defaultSize="0" autoFill="0" autoPict="0">
                <anchor moveWithCells="1">
                  <from>
                    <xdr:col>6</xdr:col>
                    <xdr:colOff>323850</xdr:colOff>
                    <xdr:row>15</xdr:row>
                    <xdr:rowOff>152400</xdr:rowOff>
                  </from>
                  <to>
                    <xdr:col>8</xdr:col>
                    <xdr:colOff>523875</xdr:colOff>
                    <xdr:row>20</xdr:row>
                    <xdr:rowOff>57150</xdr:rowOff>
                  </to>
                </anchor>
              </controlPr>
            </control>
          </mc:Choice>
        </mc:AlternateContent>
        <mc:AlternateContent xmlns:mc="http://schemas.openxmlformats.org/markup-compatibility/2006">
          <mc:Choice Requires="x14">
            <control shapeId="9232" r:id="rId19" name="Option Button 16">
              <controlPr defaultSize="0" autoFill="0" autoLine="0" autoPict="0">
                <anchor moveWithCells="1">
                  <from>
                    <xdr:col>6</xdr:col>
                    <xdr:colOff>419100</xdr:colOff>
                    <xdr:row>18</xdr:row>
                    <xdr:rowOff>66675</xdr:rowOff>
                  </from>
                  <to>
                    <xdr:col>7</xdr:col>
                    <xdr:colOff>428625</xdr:colOff>
                    <xdr:row>19</xdr:row>
                    <xdr:rowOff>114300</xdr:rowOff>
                  </to>
                </anchor>
              </controlPr>
            </control>
          </mc:Choice>
        </mc:AlternateContent>
        <mc:AlternateContent xmlns:mc="http://schemas.openxmlformats.org/markup-compatibility/2006">
          <mc:Choice Requires="x14">
            <control shapeId="9233" r:id="rId20" name="Group Box 17">
              <controlPr defaultSize="0" autoFill="0" autoPict="0">
                <anchor moveWithCells="1">
                  <from>
                    <xdr:col>6</xdr:col>
                    <xdr:colOff>323850</xdr:colOff>
                    <xdr:row>2</xdr:row>
                    <xdr:rowOff>28575</xdr:rowOff>
                  </from>
                  <to>
                    <xdr:col>8</xdr:col>
                    <xdr:colOff>523875</xdr:colOff>
                    <xdr:row>8</xdr:row>
                    <xdr:rowOff>428625</xdr:rowOff>
                  </to>
                </anchor>
              </controlPr>
            </control>
          </mc:Choice>
        </mc:AlternateContent>
        <mc:AlternateContent xmlns:mc="http://schemas.openxmlformats.org/markup-compatibility/2006">
          <mc:Choice Requires="x14">
            <control shapeId="9234" r:id="rId21" name="Option Button 18">
              <controlPr defaultSize="0" autoFill="0" autoLine="0" autoPict="0">
                <anchor moveWithCells="1">
                  <from>
                    <xdr:col>8</xdr:col>
                    <xdr:colOff>685800</xdr:colOff>
                    <xdr:row>6</xdr:row>
                    <xdr:rowOff>114300</xdr:rowOff>
                  </from>
                  <to>
                    <xdr:col>10</xdr:col>
                    <xdr:colOff>609600</xdr:colOff>
                    <xdr:row>8</xdr:row>
                    <xdr:rowOff>9525</xdr:rowOff>
                  </to>
                </anchor>
              </controlPr>
            </control>
          </mc:Choice>
        </mc:AlternateContent>
        <mc:AlternateContent xmlns:mc="http://schemas.openxmlformats.org/markup-compatibility/2006">
          <mc:Choice Requires="x14">
            <control shapeId="9235" r:id="rId22" name="Option Button 19">
              <controlPr defaultSize="0" autoFill="0" autoLine="0" autoPict="0">
                <anchor moveWithCells="1">
                  <from>
                    <xdr:col>8</xdr:col>
                    <xdr:colOff>704850</xdr:colOff>
                    <xdr:row>8</xdr:row>
                    <xdr:rowOff>923925</xdr:rowOff>
                  </from>
                  <to>
                    <xdr:col>10</xdr:col>
                    <xdr:colOff>314325</xdr:colOff>
                    <xdr:row>10</xdr:row>
                    <xdr:rowOff>47625</xdr:rowOff>
                  </to>
                </anchor>
              </controlPr>
            </control>
          </mc:Choice>
        </mc:AlternateContent>
        <mc:AlternateContent xmlns:mc="http://schemas.openxmlformats.org/markup-compatibility/2006">
          <mc:Choice Requires="x14">
            <control shapeId="9236" r:id="rId23" name="Option Button 20">
              <controlPr defaultSize="0" autoFill="0" autoLine="0" autoPict="0">
                <anchor moveWithCells="1">
                  <from>
                    <xdr:col>1</xdr:col>
                    <xdr:colOff>133350</xdr:colOff>
                    <xdr:row>3</xdr:row>
                    <xdr:rowOff>114300</xdr:rowOff>
                  </from>
                  <to>
                    <xdr:col>5</xdr:col>
                    <xdr:colOff>76200</xdr:colOff>
                    <xdr:row>5</xdr:row>
                    <xdr:rowOff>19050</xdr:rowOff>
                  </to>
                </anchor>
              </controlPr>
            </control>
          </mc:Choice>
        </mc:AlternateContent>
        <mc:AlternateContent xmlns:mc="http://schemas.openxmlformats.org/markup-compatibility/2006">
          <mc:Choice Requires="x14">
            <control shapeId="9237" r:id="rId24" name="Option Button 21">
              <controlPr defaultSize="0" autoFill="0" autoLine="0" autoPict="0">
                <anchor moveWithCells="1">
                  <from>
                    <xdr:col>1</xdr:col>
                    <xdr:colOff>142875</xdr:colOff>
                    <xdr:row>9</xdr:row>
                    <xdr:rowOff>95250</xdr:rowOff>
                  </from>
                  <to>
                    <xdr:col>5</xdr:col>
                    <xdr:colOff>57150</xdr:colOff>
                    <xdr:row>11</xdr:row>
                    <xdr:rowOff>123825</xdr:rowOff>
                  </to>
                </anchor>
              </controlPr>
            </control>
          </mc:Choice>
        </mc:AlternateContent>
        <mc:AlternateContent xmlns:mc="http://schemas.openxmlformats.org/markup-compatibility/2006">
          <mc:Choice Requires="x14">
            <control shapeId="9238" r:id="rId25" name="Option Button 22">
              <controlPr defaultSize="0" autoFill="0" autoLine="0" autoPict="0">
                <anchor moveWithCells="1">
                  <from>
                    <xdr:col>1</xdr:col>
                    <xdr:colOff>152400</xdr:colOff>
                    <xdr:row>16</xdr:row>
                    <xdr:rowOff>133350</xdr:rowOff>
                  </from>
                  <to>
                    <xdr:col>4</xdr:col>
                    <xdr:colOff>533400</xdr:colOff>
                    <xdr:row>18</xdr:row>
                    <xdr:rowOff>95250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2060"/>
  </sheetPr>
  <dimension ref="A1:I28"/>
  <sheetViews>
    <sheetView showGridLines="0" zoomScaleNormal="100" workbookViewId="0">
      <selection activeCell="I35" sqref="I35"/>
    </sheetView>
  </sheetViews>
  <sheetFormatPr baseColWidth="10" defaultRowHeight="15" x14ac:dyDescent="0.2"/>
  <cols>
    <col min="1" max="1" width="1.28515625" customWidth="1"/>
    <col min="3" max="3" width="11.42578125" style="159"/>
    <col min="4" max="8" width="16" customWidth="1"/>
    <col min="9" max="9" width="38.42578125" bestFit="1" customWidth="1"/>
  </cols>
  <sheetData>
    <row r="1" spans="1:8" ht="18.75" x14ac:dyDescent="0.2">
      <c r="A1" s="39"/>
      <c r="B1" s="39" t="s">
        <v>285</v>
      </c>
    </row>
    <row r="3" spans="1:8" x14ac:dyDescent="0.2">
      <c r="B3" s="203" t="s">
        <v>219</v>
      </c>
    </row>
    <row r="4" spans="1:8" ht="15.75" thickBot="1" x14ac:dyDescent="0.25"/>
    <row r="5" spans="1:8" ht="30" x14ac:dyDescent="0.2">
      <c r="D5" s="344" t="s">
        <v>221</v>
      </c>
      <c r="E5" s="345"/>
      <c r="F5" s="345"/>
      <c r="G5" s="345"/>
      <c r="H5" s="346"/>
    </row>
    <row r="6" spans="1:8" s="159" customFormat="1" ht="33" customHeight="1" thickBot="1" x14ac:dyDescent="0.25">
      <c r="D6" s="210" t="s">
        <v>214</v>
      </c>
      <c r="E6" s="197" t="s">
        <v>215</v>
      </c>
      <c r="F6" s="198" t="s">
        <v>216</v>
      </c>
      <c r="G6" s="199" t="s">
        <v>217</v>
      </c>
      <c r="H6" s="196" t="s">
        <v>218</v>
      </c>
    </row>
    <row r="7" spans="1:8" ht="12.75" x14ac:dyDescent="0.2">
      <c r="B7" s="341" t="s">
        <v>220</v>
      </c>
      <c r="C7" s="347" t="s">
        <v>214</v>
      </c>
      <c r="D7" s="354" t="s">
        <v>225</v>
      </c>
      <c r="E7" s="173" t="s">
        <v>223</v>
      </c>
      <c r="F7" s="171" t="s">
        <v>218</v>
      </c>
      <c r="G7" s="176" t="s">
        <v>216</v>
      </c>
      <c r="H7" s="172" t="s">
        <v>216</v>
      </c>
    </row>
    <row r="8" spans="1:8" ht="12.75" x14ac:dyDescent="0.2">
      <c r="B8" s="342"/>
      <c r="C8" s="348"/>
      <c r="D8" s="355"/>
      <c r="E8" s="174"/>
      <c r="F8" s="161" t="s">
        <v>217</v>
      </c>
      <c r="G8" s="177" t="s">
        <v>218</v>
      </c>
      <c r="H8" s="165" t="s">
        <v>217</v>
      </c>
    </row>
    <row r="9" spans="1:8" ht="12.75" x14ac:dyDescent="0.2">
      <c r="B9" s="342"/>
      <c r="C9" s="348"/>
      <c r="D9" s="355"/>
      <c r="E9" s="174"/>
      <c r="F9" s="212" t="s">
        <v>224</v>
      </c>
      <c r="G9" s="213" t="s">
        <v>224</v>
      </c>
      <c r="H9" s="214" t="s">
        <v>224</v>
      </c>
    </row>
    <row r="10" spans="1:8" ht="12.75" x14ac:dyDescent="0.2">
      <c r="B10" s="342"/>
      <c r="C10" s="349" t="s">
        <v>215</v>
      </c>
      <c r="D10" s="187"/>
      <c r="E10" s="333" t="s">
        <v>225</v>
      </c>
      <c r="F10" s="188" t="s">
        <v>216</v>
      </c>
      <c r="G10" s="189" t="s">
        <v>217</v>
      </c>
      <c r="H10" s="190" t="s">
        <v>218</v>
      </c>
    </row>
    <row r="11" spans="1:8" ht="12.75" x14ac:dyDescent="0.2">
      <c r="B11" s="342"/>
      <c r="C11" s="349"/>
      <c r="D11" s="167" t="s">
        <v>223</v>
      </c>
      <c r="E11" s="334"/>
      <c r="F11" s="212" t="s">
        <v>224</v>
      </c>
      <c r="G11" s="213" t="s">
        <v>224</v>
      </c>
      <c r="H11" s="214" t="s">
        <v>224</v>
      </c>
    </row>
    <row r="12" spans="1:8" ht="12.75" x14ac:dyDescent="0.2">
      <c r="B12" s="342"/>
      <c r="C12" s="349"/>
      <c r="D12" s="191"/>
      <c r="E12" s="335"/>
      <c r="F12" s="192"/>
      <c r="G12" s="193"/>
      <c r="H12" s="194"/>
    </row>
    <row r="13" spans="1:8" ht="12.75" x14ac:dyDescent="0.2">
      <c r="B13" s="342"/>
      <c r="C13" s="350" t="s">
        <v>216</v>
      </c>
      <c r="D13" s="170" t="s">
        <v>218</v>
      </c>
      <c r="E13" s="183" t="s">
        <v>216</v>
      </c>
      <c r="F13" s="356" t="s">
        <v>225</v>
      </c>
      <c r="G13" s="184" t="s">
        <v>216</v>
      </c>
      <c r="H13" s="185" t="s">
        <v>216</v>
      </c>
    </row>
    <row r="14" spans="1:8" ht="12.75" x14ac:dyDescent="0.2">
      <c r="B14" s="342"/>
      <c r="C14" s="350"/>
      <c r="D14" s="168" t="s">
        <v>217</v>
      </c>
      <c r="E14" s="213" t="s">
        <v>224</v>
      </c>
      <c r="F14" s="356"/>
      <c r="G14" s="178" t="s">
        <v>217</v>
      </c>
      <c r="H14" s="164" t="s">
        <v>218</v>
      </c>
    </row>
    <row r="15" spans="1:8" ht="12.75" x14ac:dyDescent="0.2">
      <c r="B15" s="342"/>
      <c r="C15" s="350"/>
      <c r="D15" s="211" t="s">
        <v>224</v>
      </c>
      <c r="E15" s="181"/>
      <c r="F15" s="356"/>
      <c r="G15" s="182"/>
      <c r="H15" s="166"/>
    </row>
    <row r="16" spans="1:8" ht="12.75" x14ac:dyDescent="0.2">
      <c r="B16" s="342"/>
      <c r="C16" s="351" t="s">
        <v>217</v>
      </c>
      <c r="D16" s="187" t="s">
        <v>216</v>
      </c>
      <c r="E16" s="189" t="s">
        <v>217</v>
      </c>
      <c r="F16" s="188" t="s">
        <v>216</v>
      </c>
      <c r="G16" s="333" t="s">
        <v>225</v>
      </c>
      <c r="H16" s="190" t="s">
        <v>218</v>
      </c>
    </row>
    <row r="17" spans="2:9" ht="12.75" x14ac:dyDescent="0.2">
      <c r="B17" s="342"/>
      <c r="C17" s="351"/>
      <c r="D17" s="170" t="s">
        <v>218</v>
      </c>
      <c r="E17" s="213" t="s">
        <v>224</v>
      </c>
      <c r="F17" s="161" t="s">
        <v>217</v>
      </c>
      <c r="G17" s="334"/>
      <c r="H17" s="165" t="s">
        <v>217</v>
      </c>
    </row>
    <row r="18" spans="2:9" ht="12.75" x14ac:dyDescent="0.2">
      <c r="B18" s="342"/>
      <c r="C18" s="351"/>
      <c r="D18" s="215" t="s">
        <v>224</v>
      </c>
      <c r="E18" s="195"/>
      <c r="F18" s="192"/>
      <c r="G18" s="335"/>
      <c r="H18" s="194"/>
    </row>
    <row r="19" spans="2:9" ht="12.75" x14ac:dyDescent="0.2">
      <c r="B19" s="342"/>
      <c r="C19" s="352" t="s">
        <v>218</v>
      </c>
      <c r="D19" s="167" t="s">
        <v>216</v>
      </c>
      <c r="E19" s="177" t="s">
        <v>218</v>
      </c>
      <c r="F19" s="186" t="s">
        <v>216</v>
      </c>
      <c r="G19" s="177" t="s">
        <v>218</v>
      </c>
      <c r="H19" s="336" t="s">
        <v>225</v>
      </c>
    </row>
    <row r="20" spans="2:9" ht="12.75" x14ac:dyDescent="0.2">
      <c r="B20" s="342"/>
      <c r="C20" s="352"/>
      <c r="D20" s="168" t="s">
        <v>217</v>
      </c>
      <c r="E20" s="213" t="s">
        <v>224</v>
      </c>
      <c r="F20" s="160" t="s">
        <v>218</v>
      </c>
      <c r="G20" s="179" t="s">
        <v>217</v>
      </c>
      <c r="H20" s="336"/>
    </row>
    <row r="21" spans="2:9" ht="13.5" thickBot="1" x14ac:dyDescent="0.25">
      <c r="B21" s="343"/>
      <c r="C21" s="353"/>
      <c r="D21" s="216" t="s">
        <v>224</v>
      </c>
      <c r="E21" s="175"/>
      <c r="F21" s="169"/>
      <c r="G21" s="180"/>
      <c r="H21" s="337"/>
    </row>
    <row r="22" spans="2:9" ht="30.75" thickBot="1" x14ac:dyDescent="0.45">
      <c r="D22" s="51"/>
      <c r="E22" s="51"/>
      <c r="F22" s="51"/>
      <c r="G22" s="51"/>
      <c r="H22" s="51"/>
      <c r="I22" s="163" t="s">
        <v>222</v>
      </c>
    </row>
    <row r="23" spans="2:9" ht="15.75" thickBot="1" x14ac:dyDescent="0.25"/>
    <row r="24" spans="2:9" ht="12.75" x14ac:dyDescent="0.2">
      <c r="C24" s="338" t="s">
        <v>226</v>
      </c>
      <c r="D24" s="200" t="s">
        <v>231</v>
      </c>
      <c r="E24" s="201"/>
    </row>
    <row r="25" spans="2:9" ht="12.75" x14ac:dyDescent="0.2">
      <c r="C25" s="339"/>
      <c r="D25" s="200" t="s">
        <v>227</v>
      </c>
      <c r="E25" s="201"/>
    </row>
    <row r="26" spans="2:9" ht="13.5" thickBot="1" x14ac:dyDescent="0.25">
      <c r="C26" s="340"/>
      <c r="D26" s="200" t="s">
        <v>229</v>
      </c>
      <c r="E26" s="201"/>
    </row>
    <row r="27" spans="2:9" ht="15.75" thickBot="1" x14ac:dyDescent="0.25">
      <c r="D27" s="201"/>
      <c r="E27" s="201"/>
    </row>
    <row r="28" spans="2:9" ht="12.75" customHeight="1" thickBot="1" x14ac:dyDescent="0.25">
      <c r="C28" s="162" t="s">
        <v>228</v>
      </c>
      <c r="D28" s="202" t="s">
        <v>230</v>
      </c>
      <c r="E28" s="201"/>
    </row>
  </sheetData>
  <mergeCells count="13">
    <mergeCell ref="G16:G18"/>
    <mergeCell ref="H19:H21"/>
    <mergeCell ref="C24:C26"/>
    <mergeCell ref="B7:B21"/>
    <mergeCell ref="D5:H5"/>
    <mergeCell ref="C7:C9"/>
    <mergeCell ref="C10:C12"/>
    <mergeCell ref="C13:C15"/>
    <mergeCell ref="C16:C18"/>
    <mergeCell ref="C19:C21"/>
    <mergeCell ref="D7:D9"/>
    <mergeCell ref="E10:E12"/>
    <mergeCell ref="F13:F15"/>
  </mergeCells>
  <pageMargins left="0.7" right="0.7" top="0.78740157499999996" bottom="0.78740157499999996"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70C0"/>
  </sheetPr>
  <dimension ref="A1:Y39"/>
  <sheetViews>
    <sheetView zoomScale="115" zoomScaleNormal="115" workbookViewId="0">
      <selection activeCell="C17" sqref="C17:F17"/>
    </sheetView>
  </sheetViews>
  <sheetFormatPr baseColWidth="10" defaultRowHeight="12.75" x14ac:dyDescent="0.2"/>
  <cols>
    <col min="3" max="3" width="17.5703125" customWidth="1"/>
    <col min="11" max="11" width="12.42578125" bestFit="1" customWidth="1"/>
    <col min="18" max="29" width="3" customWidth="1"/>
  </cols>
  <sheetData>
    <row r="1" spans="1:25" ht="15.75" x14ac:dyDescent="0.2">
      <c r="A1" s="39" t="s">
        <v>232</v>
      </c>
      <c r="B1" s="39"/>
      <c r="G1" s="3" t="s">
        <v>266</v>
      </c>
    </row>
    <row r="2" spans="1:25" x14ac:dyDescent="0.2">
      <c r="R2" t="s">
        <v>250</v>
      </c>
      <c r="T2" t="s">
        <v>251</v>
      </c>
      <c r="V2" t="s">
        <v>252</v>
      </c>
    </row>
    <row r="3" spans="1:25" x14ac:dyDescent="0.2">
      <c r="A3" s="3" t="s">
        <v>270</v>
      </c>
      <c r="B3" s="3"/>
      <c r="C3" s="3"/>
      <c r="R3" s="219"/>
      <c r="S3" s="220"/>
      <c r="T3" s="219"/>
      <c r="U3" s="220"/>
      <c r="V3" s="219"/>
      <c r="W3" s="220"/>
    </row>
    <row r="4" spans="1:25" x14ac:dyDescent="0.2">
      <c r="R4" s="221"/>
      <c r="S4" s="222"/>
      <c r="T4" s="221"/>
      <c r="U4" s="222"/>
      <c r="V4" s="221"/>
      <c r="W4" s="222"/>
    </row>
    <row r="5" spans="1:25" x14ac:dyDescent="0.2">
      <c r="A5" s="3" t="s">
        <v>271</v>
      </c>
      <c r="B5" s="3"/>
      <c r="D5" s="241">
        <v>1</v>
      </c>
      <c r="E5" s="240" t="s">
        <v>254</v>
      </c>
    </row>
    <row r="6" spans="1:25" x14ac:dyDescent="0.2">
      <c r="A6" s="3" t="s">
        <v>272</v>
      </c>
      <c r="B6" s="3"/>
      <c r="D6" s="241">
        <v>1</v>
      </c>
      <c r="E6" t="s">
        <v>273</v>
      </c>
      <c r="F6" s="3" t="s">
        <v>280</v>
      </c>
      <c r="J6" s="225"/>
      <c r="K6" s="225"/>
      <c r="L6" s="225"/>
      <c r="M6" s="225"/>
    </row>
    <row r="7" spans="1:25" x14ac:dyDescent="0.2">
      <c r="J7" s="225"/>
      <c r="K7" s="225"/>
      <c r="L7" s="225"/>
      <c r="M7" s="225"/>
    </row>
    <row r="9" spans="1:25" x14ac:dyDescent="0.2">
      <c r="A9" s="2" t="s">
        <v>275</v>
      </c>
      <c r="B9" s="2"/>
      <c r="J9" s="18" t="s">
        <v>265</v>
      </c>
      <c r="K9" s="228">
        <f>'Berechnung InMotionUnsharpness'!B12</f>
        <v>2.777777777777778E-2</v>
      </c>
      <c r="T9" s="217"/>
      <c r="U9" s="217"/>
      <c r="V9" s="218"/>
      <c r="W9" s="218"/>
    </row>
    <row r="10" spans="1:25" x14ac:dyDescent="0.2">
      <c r="T10" s="217"/>
      <c r="U10" s="217"/>
      <c r="V10" s="218"/>
      <c r="W10" s="218"/>
    </row>
    <row r="11" spans="1:25" x14ac:dyDescent="0.2">
      <c r="A11" s="240" t="s">
        <v>274</v>
      </c>
      <c r="D11" s="19">
        <f>'Berechnung InMotionUnsharpness'!C18</f>
        <v>0</v>
      </c>
      <c r="E11" t="s">
        <v>89</v>
      </c>
      <c r="F11" s="237">
        <f>Lens!G18</f>
        <v>150</v>
      </c>
      <c r="W11" s="27"/>
      <c r="X11" s="217"/>
      <c r="Y11" s="218"/>
    </row>
    <row r="12" spans="1:25" x14ac:dyDescent="0.2">
      <c r="D12" s="19" t="s">
        <v>88</v>
      </c>
    </row>
    <row r="13" spans="1:25" x14ac:dyDescent="0.2">
      <c r="D13" s="238">
        <f>Lens!D11</f>
        <v>200</v>
      </c>
    </row>
    <row r="16" spans="1:25" x14ac:dyDescent="0.2">
      <c r="C16" t="str">
        <f>Lens!H40</f>
        <v>XF/ID/CS 0.3MP</v>
      </c>
      <c r="D16" t="str">
        <f>Lens!J40</f>
        <v>XC 0.3MP</v>
      </c>
      <c r="E16" t="str">
        <f>Lens!L40</f>
        <v>XC 1.2MP</v>
      </c>
      <c r="F16" t="str">
        <f>Lens!N40</f>
        <v>XC 2.0MP</v>
      </c>
    </row>
    <row r="17" spans="1:21" x14ac:dyDescent="0.2">
      <c r="A17" s="3" t="s">
        <v>276</v>
      </c>
      <c r="B17" s="3" t="str">
        <f>'Berechnung InMotionUnsharpness'!B21</f>
        <v>vertical</v>
      </c>
    </row>
    <row r="19" spans="1:21" x14ac:dyDescent="0.2">
      <c r="M19" s="3" t="s">
        <v>238</v>
      </c>
    </row>
    <row r="20" spans="1:21" x14ac:dyDescent="0.2">
      <c r="K20" s="3" t="s">
        <v>240</v>
      </c>
      <c r="L20" s="209" t="s">
        <v>239</v>
      </c>
    </row>
    <row r="21" spans="1:21" x14ac:dyDescent="0.2">
      <c r="L21" s="67">
        <v>0.25</v>
      </c>
      <c r="M21">
        <v>1</v>
      </c>
      <c r="R21" s="3">
        <f>$M$21</f>
        <v>1</v>
      </c>
      <c r="S21" s="3">
        <f>$M$22</f>
        <v>1</v>
      </c>
      <c r="T21" s="3">
        <f>$M$23</f>
        <v>1</v>
      </c>
      <c r="U21" s="3">
        <f>$M$24</f>
        <v>1</v>
      </c>
    </row>
    <row r="22" spans="1:21" x14ac:dyDescent="0.2">
      <c r="L22" s="208">
        <v>0.5</v>
      </c>
      <c r="M22">
        <v>1</v>
      </c>
      <c r="R22" s="3">
        <f>$M$21</f>
        <v>1</v>
      </c>
      <c r="S22" s="3">
        <f>$M$22</f>
        <v>1</v>
      </c>
      <c r="T22" s="3">
        <f>$M$23</f>
        <v>1</v>
      </c>
      <c r="U22" s="3">
        <f>$M$24</f>
        <v>1</v>
      </c>
    </row>
    <row r="23" spans="1:21" x14ac:dyDescent="0.2">
      <c r="L23" s="208">
        <v>0.75</v>
      </c>
      <c r="M23">
        <v>1</v>
      </c>
      <c r="R23" s="3">
        <f>$M$21</f>
        <v>1</v>
      </c>
      <c r="S23" s="3">
        <f>$M$22</f>
        <v>1</v>
      </c>
      <c r="T23" s="3">
        <f>$M$23</f>
        <v>1</v>
      </c>
      <c r="U23" s="3">
        <f>$M$24</f>
        <v>1</v>
      </c>
    </row>
    <row r="24" spans="1:21" x14ac:dyDescent="0.2">
      <c r="L24" s="208">
        <v>1</v>
      </c>
      <c r="M24">
        <v>1</v>
      </c>
      <c r="R24" s="3">
        <f>$M$21</f>
        <v>1</v>
      </c>
      <c r="S24" s="3">
        <f>$M$22</f>
        <v>1</v>
      </c>
      <c r="T24" s="3">
        <f>$M$23</f>
        <v>1</v>
      </c>
      <c r="U24" s="3">
        <f>$M$24</f>
        <v>1</v>
      </c>
    </row>
    <row r="26" spans="1:21" x14ac:dyDescent="0.2">
      <c r="D26" s="18"/>
      <c r="E26" s="223"/>
    </row>
    <row r="29" spans="1:21" x14ac:dyDescent="0.2">
      <c r="D29" s="86"/>
      <c r="E29" s="18" t="s">
        <v>241</v>
      </c>
      <c r="F29" s="223">
        <v>1</v>
      </c>
    </row>
    <row r="30" spans="1:21" x14ac:dyDescent="0.2">
      <c r="D30" s="3" t="s">
        <v>258</v>
      </c>
      <c r="F30" s="225">
        <v>1000</v>
      </c>
    </row>
    <row r="32" spans="1:21" x14ac:dyDescent="0.2">
      <c r="E32" s="18" t="s">
        <v>264</v>
      </c>
      <c r="F32" s="223">
        <f>F29+K9</f>
        <v>1.0277777777777777</v>
      </c>
      <c r="G32" s="67">
        <f>F32/F29</f>
        <v>1.0277777777777777</v>
      </c>
    </row>
    <row r="35" spans="3:3" x14ac:dyDescent="0.2">
      <c r="C35" s="3" t="s">
        <v>243</v>
      </c>
    </row>
    <row r="36" spans="3:3" x14ac:dyDescent="0.2">
      <c r="C36" s="3" t="s">
        <v>244</v>
      </c>
    </row>
    <row r="39" spans="3:3" x14ac:dyDescent="0.2">
      <c r="C39" s="6" t="s">
        <v>267</v>
      </c>
    </row>
  </sheetData>
  <conditionalFormatting sqref="S21:S24">
    <cfRule type="cellIs" dxfId="3" priority="11" operator="equal">
      <formula>1</formula>
    </cfRule>
  </conditionalFormatting>
  <conditionalFormatting sqref="R21:R24">
    <cfRule type="cellIs" dxfId="2" priority="6" operator="equal">
      <formula>1</formula>
    </cfRule>
  </conditionalFormatting>
  <conditionalFormatting sqref="T21:T24">
    <cfRule type="cellIs" dxfId="1" priority="5" operator="equal">
      <formula>1</formula>
    </cfRule>
  </conditionalFormatting>
  <conditionalFormatting sqref="U21:U24">
    <cfRule type="cellIs" dxfId="0" priority="4" operator="equal">
      <formula>1</formula>
    </cfRule>
  </conditionalFormatting>
  <dataValidations disablePrompts="1" count="3">
    <dataValidation type="list" allowBlank="1" showInputMessage="1" showErrorMessage="1" sqref="E5">
      <formula1>"m/s, m/min"</formula1>
    </dataValidation>
    <dataValidation type="whole" allowBlank="1" showInputMessage="1" showErrorMessage="1" sqref="F30">
      <formula1>35</formula1>
      <formula2>10000</formula2>
    </dataValidation>
    <dataValidation type="list" allowBlank="1" showInputMessage="1" showErrorMessage="1" sqref="A11">
      <formula1>"horizontal, vertical"</formula1>
    </dataValidation>
  </dataValidations>
  <hyperlinks>
    <hyperlink ref="C39" r:id="rId1"/>
  </hyperlinks>
  <pageMargins left="0.7" right="0.7" top="0.78740157499999996" bottom="0.78740157499999996" header="0.3" footer="0.3"/>
  <pageSetup paperSize="9" orientation="portrait" verticalDpi="0" r:id="rId2"/>
  <drawing r:id="rId3"/>
  <extLst>
    <ext xmlns:x14="http://schemas.microsoft.com/office/spreadsheetml/2009/9/main" uri="{78C0D931-6437-407d-A8EE-F0AAD7539E65}">
      <x14:conditionalFormattings>
        <x14:conditionalFormatting xmlns:xm="http://schemas.microsoft.com/office/excel/2006/main">
          <x14:cfRule type="iconSet" priority="2" id="{84EF0CAA-BABE-461C-A39E-FB6FFE63A836}">
            <x14:iconSet showValue="0" custom="1">
              <x14:cfvo type="percent">
                <xm:f>0</xm:f>
              </x14:cfvo>
              <x14:cfvo type="num" gte="0">
                <xm:f>0</xm:f>
              </x14:cfvo>
              <x14:cfvo type="num" gte="0">
                <xm:f>1</xm:f>
              </x14:cfvo>
              <x14:cfIcon iconSet="3ArrowsGray" iconId="2"/>
              <x14:cfIcon iconSet="3ArrowsGray" iconId="1"/>
              <x14:cfIcon iconSet="NoIcons" iconId="0"/>
            </x14:iconSet>
          </x14:cfRule>
          <xm:sqref>D11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F27"/>
  <sheetViews>
    <sheetView workbookViewId="0">
      <selection activeCell="D27" sqref="D27"/>
    </sheetView>
  </sheetViews>
  <sheetFormatPr baseColWidth="10" defaultRowHeight="12.75" x14ac:dyDescent="0.2"/>
  <cols>
    <col min="1" max="1" width="37.140625" customWidth="1"/>
    <col min="2" max="2" width="25.28515625" customWidth="1"/>
    <col min="3" max="3" width="14.5703125" bestFit="1" customWidth="1"/>
    <col min="4" max="4" width="17.140625" bestFit="1" customWidth="1"/>
    <col min="5" max="6" width="9.28515625" bestFit="1" customWidth="1"/>
  </cols>
  <sheetData>
    <row r="2" spans="1:4" x14ac:dyDescent="0.2">
      <c r="D2" s="3" t="s">
        <v>257</v>
      </c>
    </row>
    <row r="3" spans="1:4" x14ac:dyDescent="0.2">
      <c r="A3" s="3" t="s">
        <v>255</v>
      </c>
      <c r="B3">
        <f>InMotionUnsharpnessCalculator!D5</f>
        <v>1</v>
      </c>
      <c r="C3" t="str">
        <f>InMotionUnsharpnessCalculator!E5</f>
        <v>m/min</v>
      </c>
      <c r="D3">
        <f>IF(C3="m/min",(1/3600),1)</f>
        <v>2.7777777777777778E-4</v>
      </c>
    </row>
    <row r="4" spans="1:4" x14ac:dyDescent="0.2">
      <c r="A4" s="3" t="s">
        <v>256</v>
      </c>
      <c r="B4" s="94">
        <f>B3*D3</f>
        <v>2.7777777777777778E-4</v>
      </c>
      <c r="C4" s="3" t="s">
        <v>253</v>
      </c>
      <c r="D4" s="224"/>
    </row>
    <row r="7" spans="1:4" x14ac:dyDescent="0.2">
      <c r="A7" t="s">
        <v>259</v>
      </c>
      <c r="B7" s="225">
        <f>InMotionUnsharpnessCalculator!F30</f>
        <v>1000</v>
      </c>
    </row>
    <row r="8" spans="1:4" x14ac:dyDescent="0.2">
      <c r="A8" t="s">
        <v>260</v>
      </c>
      <c r="B8" s="227">
        <f>B7/10000</f>
        <v>0.1</v>
      </c>
    </row>
    <row r="9" spans="1:4" x14ac:dyDescent="0.2">
      <c r="A9" t="s">
        <v>261</v>
      </c>
      <c r="B9" s="226">
        <f>1/B8</f>
        <v>10</v>
      </c>
    </row>
    <row r="11" spans="1:4" x14ac:dyDescent="0.2">
      <c r="A11" t="s">
        <v>262</v>
      </c>
      <c r="B11">
        <f>B4*B8</f>
        <v>2.7777777777777779E-5</v>
      </c>
    </row>
    <row r="12" spans="1:4" x14ac:dyDescent="0.2">
      <c r="A12" t="s">
        <v>263</v>
      </c>
      <c r="B12" s="228">
        <f>B11*1000</f>
        <v>2.777777777777778E-2</v>
      </c>
    </row>
    <row r="16" spans="1:4" x14ac:dyDescent="0.2">
      <c r="A16" s="239" t="s">
        <v>276</v>
      </c>
    </row>
    <row r="17" spans="1:6" x14ac:dyDescent="0.2">
      <c r="C17" s="3" t="s">
        <v>279</v>
      </c>
    </row>
    <row r="18" spans="1:6" x14ac:dyDescent="0.2">
      <c r="A18" s="3" t="s">
        <v>88</v>
      </c>
      <c r="B18">
        <f>Lens!D11</f>
        <v>200</v>
      </c>
      <c r="C18">
        <f>IF(B21="vertical",0,1)</f>
        <v>0</v>
      </c>
    </row>
    <row r="19" spans="1:6" x14ac:dyDescent="0.2">
      <c r="A19" s="3" t="s">
        <v>89</v>
      </c>
      <c r="B19">
        <f>Lens!G18</f>
        <v>150</v>
      </c>
      <c r="C19">
        <f>IF(C18=0,1,0)</f>
        <v>1</v>
      </c>
    </row>
    <row r="21" spans="1:6" x14ac:dyDescent="0.2">
      <c r="A21" s="3" t="s">
        <v>277</v>
      </c>
      <c r="B21" t="str">
        <f>InMotionUnsharpnessCalculator!A11</f>
        <v>vertical</v>
      </c>
    </row>
    <row r="22" spans="1:6" x14ac:dyDescent="0.2">
      <c r="A22" s="3" t="s">
        <v>278</v>
      </c>
      <c r="B22" s="86">
        <f>(B18*C18)+(B19*C19)</f>
        <v>150</v>
      </c>
    </row>
    <row r="25" spans="1:6" x14ac:dyDescent="0.2">
      <c r="C25" t="s">
        <v>10</v>
      </c>
      <c r="D25" t="s">
        <v>7</v>
      </c>
      <c r="E25" t="s">
        <v>8</v>
      </c>
      <c r="F25" t="s">
        <v>9</v>
      </c>
    </row>
    <row r="26" spans="1:6" x14ac:dyDescent="0.2">
      <c r="B26" s="3" t="s">
        <v>276</v>
      </c>
      <c r="C26">
        <f>B22</f>
        <v>150</v>
      </c>
      <c r="D26">
        <f>B22</f>
        <v>150</v>
      </c>
      <c r="E26">
        <f>B22</f>
        <v>150</v>
      </c>
      <c r="F26">
        <f>B22</f>
        <v>150</v>
      </c>
    </row>
    <row r="27" spans="1:6" x14ac:dyDescent="0.2">
      <c r="B27" s="3" t="s">
        <v>281</v>
      </c>
    </row>
  </sheetData>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S216"/>
  <sheetViews>
    <sheetView topLeftCell="C154" zoomScale="85" zoomScaleNormal="85" workbookViewId="0">
      <selection activeCell="N128" sqref="N128"/>
    </sheetView>
  </sheetViews>
  <sheetFormatPr baseColWidth="10" defaultRowHeight="12.75" x14ac:dyDescent="0.2"/>
  <cols>
    <col min="1" max="1" width="49.5703125" customWidth="1"/>
    <col min="2" max="2" width="29.140625" bestFit="1" customWidth="1"/>
    <col min="3" max="3" width="27.7109375" bestFit="1" customWidth="1"/>
    <col min="4" max="4" width="26" customWidth="1"/>
    <col min="5" max="5" width="22.85546875" customWidth="1"/>
    <col min="6" max="6" width="25.140625" customWidth="1"/>
    <col min="7" max="7" width="24.140625" customWidth="1"/>
    <col min="8" max="8" width="25.7109375" bestFit="1" customWidth="1"/>
    <col min="9" max="9" width="29.42578125" bestFit="1" customWidth="1"/>
    <col min="10" max="10" width="30.42578125" customWidth="1"/>
    <col min="11" max="11" width="24.42578125" customWidth="1"/>
    <col min="12" max="12" width="21" customWidth="1"/>
    <col min="13" max="13" width="23.7109375" bestFit="1" customWidth="1"/>
    <col min="14" max="14" width="23.140625" bestFit="1" customWidth="1"/>
    <col min="15" max="15" width="14.85546875" customWidth="1"/>
    <col min="16" max="16" width="11.85546875" customWidth="1"/>
    <col min="17" max="17" width="11.28515625" bestFit="1" customWidth="1"/>
    <col min="18" max="18" width="5.7109375" customWidth="1"/>
    <col min="19" max="19" width="27.85546875" customWidth="1"/>
  </cols>
  <sheetData>
    <row r="1" spans="1:16" ht="15.75" x14ac:dyDescent="0.25">
      <c r="A1" s="10" t="s">
        <v>107</v>
      </c>
      <c r="B1" s="10"/>
      <c r="C1" s="10"/>
      <c r="D1" s="10"/>
      <c r="E1" s="10"/>
      <c r="F1" s="10"/>
      <c r="G1" s="10"/>
      <c r="H1" s="10"/>
      <c r="I1" s="10"/>
      <c r="J1" s="10"/>
      <c r="K1" s="10"/>
      <c r="L1" s="10"/>
      <c r="M1" s="10"/>
    </row>
    <row r="2" spans="1:16" ht="15.75" x14ac:dyDescent="0.25">
      <c r="A2" s="357" t="s">
        <v>126</v>
      </c>
      <c r="B2" s="358"/>
      <c r="C2" s="358"/>
      <c r="D2" s="43"/>
      <c r="E2" s="10"/>
      <c r="F2" s="10"/>
      <c r="H2" s="10"/>
      <c r="I2" s="10"/>
      <c r="J2" s="10"/>
      <c r="K2" s="10"/>
      <c r="L2" s="10"/>
      <c r="M2" s="10"/>
      <c r="N2" s="10"/>
    </row>
    <row r="3" spans="1:16" x14ac:dyDescent="0.2">
      <c r="F3" t="s">
        <v>90</v>
      </c>
      <c r="J3" s="3" t="s">
        <v>62</v>
      </c>
      <c r="M3" s="3"/>
    </row>
    <row r="4" spans="1:16" s="16" customFormat="1" ht="38.25" x14ac:dyDescent="0.2">
      <c r="A4" s="15" t="s">
        <v>3</v>
      </c>
      <c r="B4" s="15"/>
      <c r="C4" s="15" t="s">
        <v>25</v>
      </c>
      <c r="D4" s="15" t="s">
        <v>26</v>
      </c>
      <c r="E4" s="15" t="s">
        <v>4</v>
      </c>
      <c r="G4" s="15" t="s">
        <v>23</v>
      </c>
      <c r="H4" s="15" t="s">
        <v>24</v>
      </c>
      <c r="I4" s="41" t="s">
        <v>39</v>
      </c>
      <c r="J4" s="15" t="s">
        <v>60</v>
      </c>
      <c r="K4" s="15" t="s">
        <v>61</v>
      </c>
      <c r="L4" s="17" t="s">
        <v>59</v>
      </c>
      <c r="M4" s="17" t="s">
        <v>40</v>
      </c>
      <c r="N4" s="58" t="s">
        <v>38</v>
      </c>
      <c r="O4" s="17"/>
    </row>
    <row r="5" spans="1:16" x14ac:dyDescent="0.2">
      <c r="A5" s="5"/>
      <c r="B5" s="5"/>
      <c r="C5" s="5"/>
      <c r="D5" s="5"/>
      <c r="E5" s="5"/>
      <c r="G5" s="5"/>
      <c r="H5" s="5"/>
      <c r="I5" s="41"/>
      <c r="N5" s="2"/>
    </row>
    <row r="6" spans="1:16" x14ac:dyDescent="0.2">
      <c r="G6" s="42" t="s">
        <v>57</v>
      </c>
      <c r="H6" s="42" t="s">
        <v>58</v>
      </c>
      <c r="I6" s="41"/>
      <c r="N6" s="2"/>
    </row>
    <row r="7" spans="1:16" x14ac:dyDescent="0.2">
      <c r="A7" t="s">
        <v>0</v>
      </c>
      <c r="C7">
        <v>640</v>
      </c>
      <c r="D7">
        <v>480</v>
      </c>
      <c r="E7" s="4">
        <f>0.0056</f>
        <v>5.5999999999999999E-3</v>
      </c>
      <c r="F7" s="94">
        <f>D7/C7</f>
        <v>0.75</v>
      </c>
      <c r="G7" s="75">
        <f t="shared" ref="G7:H11" si="0">C7*$E7</f>
        <v>3.5840000000000001</v>
      </c>
      <c r="H7" s="75">
        <f t="shared" si="0"/>
        <v>2.6880000000000002</v>
      </c>
      <c r="I7" s="41">
        <f>SQRT(SUMSQ(G7:H7))</f>
        <v>4.4800000000000004</v>
      </c>
      <c r="J7" s="12">
        <f>ROUNDDOWN(C7/Lens!$E$6,1)</f>
        <v>6400</v>
      </c>
      <c r="K7" s="12">
        <f>ROUNDDOWN(D7/Lens!$E$6,1)</f>
        <v>4800</v>
      </c>
      <c r="L7">
        <f>IF(J7&gt;=Lens!$D$11,1,0)</f>
        <v>1</v>
      </c>
      <c r="M7">
        <f>IF(K7&gt;=Lens!$G$18,1,0)</f>
        <v>1</v>
      </c>
      <c r="N7" s="2">
        <f>L7*M7</f>
        <v>1</v>
      </c>
      <c r="O7" s="67"/>
    </row>
    <row r="8" spans="1:16" x14ac:dyDescent="0.2">
      <c r="A8" t="s">
        <v>1</v>
      </c>
      <c r="C8">
        <v>1280</v>
      </c>
      <c r="D8">
        <v>960</v>
      </c>
      <c r="E8" s="4">
        <v>3.7499999999999999E-3</v>
      </c>
      <c r="F8" s="94">
        <f>D8/C8</f>
        <v>0.75</v>
      </c>
      <c r="G8" s="75">
        <f t="shared" si="0"/>
        <v>4.8</v>
      </c>
      <c r="H8" s="75">
        <f t="shared" si="0"/>
        <v>3.5999999999999996</v>
      </c>
      <c r="I8" s="41">
        <f>SQRT(SUMSQ(G8:H8))</f>
        <v>6</v>
      </c>
      <c r="J8" s="12">
        <f>ROUNDDOWN(C8/Lens!$E$6,1)</f>
        <v>12800</v>
      </c>
      <c r="K8" s="12">
        <f>ROUNDDOWN(D8/Lens!$E$6,1)</f>
        <v>9600</v>
      </c>
      <c r="L8">
        <f>IF(J8&gt;=Lens!$D$11,1,0)</f>
        <v>1</v>
      </c>
      <c r="M8">
        <f>IF(K8&gt;=Lens!$G$18,1,0)</f>
        <v>1</v>
      </c>
      <c r="N8" s="2">
        <f>L8*M8</f>
        <v>1</v>
      </c>
      <c r="O8" s="67"/>
    </row>
    <row r="9" spans="1:16" x14ac:dyDescent="0.2">
      <c r="A9" t="s">
        <v>2</v>
      </c>
      <c r="C9">
        <v>1600</v>
      </c>
      <c r="D9">
        <v>1200</v>
      </c>
      <c r="E9" s="4">
        <v>4.4000000000000003E-3</v>
      </c>
      <c r="F9" s="94">
        <f>D9/C9</f>
        <v>0.75</v>
      </c>
      <c r="G9" s="75">
        <f t="shared" si="0"/>
        <v>7.04</v>
      </c>
      <c r="H9" s="75">
        <f t="shared" si="0"/>
        <v>5.28</v>
      </c>
      <c r="I9" s="41">
        <f>SQRT(SUMSQ(G9:H9))</f>
        <v>8.8000000000000007</v>
      </c>
      <c r="J9" s="12">
        <f>ROUNDDOWN(C9/Lens!$E$6,1)</f>
        <v>16000</v>
      </c>
      <c r="K9" s="12">
        <f>ROUNDDOWN(D9/Lens!$E$6,1)</f>
        <v>12000</v>
      </c>
      <c r="L9">
        <f>IF(J9&gt;=Lens!$D$11,1,0)</f>
        <v>1</v>
      </c>
      <c r="M9">
        <f>IF(K9&gt;=Lens!$G$18,1,0)</f>
        <v>1</v>
      </c>
      <c r="N9" s="2">
        <f>L9*M9</f>
        <v>1</v>
      </c>
      <c r="O9" s="67"/>
    </row>
    <row r="10" spans="1:16" x14ac:dyDescent="0.2">
      <c r="A10" s="3" t="s">
        <v>5</v>
      </c>
      <c r="B10" s="3"/>
      <c r="C10">
        <v>752</v>
      </c>
      <c r="D10">
        <v>480</v>
      </c>
      <c r="E10" s="4">
        <f>0.006</f>
        <v>6.0000000000000001E-3</v>
      </c>
      <c r="F10" s="95">
        <f>D10/C10</f>
        <v>0.63829787234042556</v>
      </c>
      <c r="G10" s="75">
        <f t="shared" si="0"/>
        <v>4.5120000000000005</v>
      </c>
      <c r="H10" s="75">
        <f t="shared" si="0"/>
        <v>2.88</v>
      </c>
      <c r="I10" s="41">
        <f>SQRT(SUMSQ(G10:H10))</f>
        <v>5.3528071140290496</v>
      </c>
      <c r="J10" s="12">
        <f>ROUNDDOWN(C10/Lens!$E$6,1)</f>
        <v>7520</v>
      </c>
      <c r="K10" s="12">
        <f>ROUNDDOWN(D10/Lens!$E$6,1)</f>
        <v>4800</v>
      </c>
      <c r="L10">
        <f>IF(J10&gt;=Lens!$D$11,1,0)</f>
        <v>1</v>
      </c>
      <c r="M10">
        <f>IF(K10&gt;=Lens!$G$18,1,0)</f>
        <v>1</v>
      </c>
      <c r="N10" s="2">
        <f>L10*M10</f>
        <v>1</v>
      </c>
      <c r="O10" s="67"/>
    </row>
    <row r="11" spans="1:16" x14ac:dyDescent="0.2">
      <c r="A11" s="3" t="s">
        <v>6</v>
      </c>
      <c r="B11" s="3"/>
      <c r="C11">
        <v>656</v>
      </c>
      <c r="D11">
        <v>494</v>
      </c>
      <c r="E11" s="14">
        <v>7.4000000000000003E-3</v>
      </c>
      <c r="F11" s="94">
        <f>D11/C11</f>
        <v>0.75304878048780488</v>
      </c>
      <c r="G11" s="75">
        <f t="shared" si="0"/>
        <v>4.8544</v>
      </c>
      <c r="H11" s="75">
        <f t="shared" si="0"/>
        <v>3.6556000000000002</v>
      </c>
      <c r="I11" s="41">
        <f>SQRT(SUMSQ(G11:H11))</f>
        <v>6.0768915343290439</v>
      </c>
      <c r="J11" s="12">
        <f>ROUNDDOWN(C11/Lens!$E$6,1)</f>
        <v>6560</v>
      </c>
      <c r="K11" s="12">
        <f>ROUNDDOWN(D11/Lens!$E$6,1)</f>
        <v>4940</v>
      </c>
      <c r="L11">
        <f>IF(J11&gt;=Lens!$D$11,1,0)</f>
        <v>1</v>
      </c>
      <c r="M11">
        <f>IF(K11&gt;=Lens!$G$18,1,0)</f>
        <v>1</v>
      </c>
      <c r="N11" s="2">
        <f>L11*M11</f>
        <v>1</v>
      </c>
      <c r="O11" s="67"/>
    </row>
    <row r="12" spans="1:16" x14ac:dyDescent="0.2">
      <c r="A12" s="3"/>
      <c r="B12" s="3"/>
      <c r="F12" s="14"/>
      <c r="G12" s="72"/>
      <c r="H12" s="12"/>
      <c r="I12" s="12"/>
      <c r="J12" s="41"/>
      <c r="K12" s="12"/>
      <c r="L12" s="12"/>
      <c r="O12" s="2"/>
      <c r="P12" s="67"/>
    </row>
    <row r="13" spans="1:16" ht="15.75" x14ac:dyDescent="0.25">
      <c r="A13" s="357" t="s">
        <v>105</v>
      </c>
      <c r="B13" s="358"/>
      <c r="C13" s="358"/>
      <c r="F13" s="14"/>
      <c r="G13" s="72"/>
      <c r="H13" s="12"/>
      <c r="I13" s="12"/>
      <c r="J13" s="41"/>
      <c r="K13" s="12"/>
      <c r="L13" s="12"/>
      <c r="O13" s="2"/>
      <c r="P13" s="67"/>
    </row>
    <row r="14" spans="1:16" x14ac:dyDescent="0.2">
      <c r="A14" s="92" t="s">
        <v>95</v>
      </c>
      <c r="B14" s="3"/>
      <c r="F14" s="14"/>
      <c r="G14" s="72"/>
      <c r="H14" s="12"/>
      <c r="I14" s="12"/>
      <c r="J14" s="41"/>
      <c r="K14" s="12"/>
      <c r="L14" s="12"/>
      <c r="O14" s="2"/>
      <c r="P14" s="67"/>
    </row>
    <row r="15" spans="1:16" x14ac:dyDescent="0.2">
      <c r="A15" s="3"/>
      <c r="B15" s="3"/>
      <c r="F15" s="14"/>
      <c r="G15" s="72"/>
      <c r="H15" s="12"/>
      <c r="I15" s="12"/>
      <c r="J15" s="41"/>
      <c r="K15" s="12"/>
      <c r="L15" s="12"/>
      <c r="O15" s="2"/>
      <c r="P15" s="67"/>
    </row>
    <row r="16" spans="1:16" s="2" customFormat="1" x14ac:dyDescent="0.2">
      <c r="A16" s="2" t="s">
        <v>88</v>
      </c>
      <c r="B16" s="2" t="s">
        <v>89</v>
      </c>
      <c r="C16" s="2" t="s">
        <v>91</v>
      </c>
      <c r="D16" s="2" t="s">
        <v>92</v>
      </c>
      <c r="F16" s="47"/>
      <c r="G16" s="89"/>
      <c r="H16" s="60"/>
      <c r="I16" s="60"/>
      <c r="J16" s="90"/>
      <c r="K16" s="60"/>
      <c r="L16" s="60"/>
      <c r="P16" s="91"/>
    </row>
    <row r="17" spans="1:16" x14ac:dyDescent="0.2">
      <c r="A17" s="3">
        <f>Lens!D11</f>
        <v>200</v>
      </c>
      <c r="B17" s="3">
        <f>Lens!G18</f>
        <v>150</v>
      </c>
      <c r="C17">
        <f>B17/A17</f>
        <v>0.75</v>
      </c>
      <c r="D17">
        <f>IF(C17&gt;1,0,1)</f>
        <v>1</v>
      </c>
      <c r="F17" s="14"/>
      <c r="G17" s="72"/>
      <c r="H17" s="12"/>
      <c r="I17" s="12"/>
      <c r="J17" s="41"/>
      <c r="K17" s="12"/>
      <c r="L17" s="12"/>
      <c r="O17" s="2"/>
      <c r="P17" s="67"/>
    </row>
    <row r="18" spans="1:16" x14ac:dyDescent="0.2">
      <c r="A18" s="3"/>
      <c r="B18" s="3"/>
      <c r="F18" s="14"/>
      <c r="G18" s="72"/>
      <c r="H18" s="12"/>
      <c r="I18" s="12"/>
      <c r="J18" s="41"/>
      <c r="K18" s="12"/>
      <c r="L18" s="12"/>
      <c r="O18" s="2"/>
      <c r="P18" s="67"/>
    </row>
    <row r="19" spans="1:16" x14ac:dyDescent="0.2">
      <c r="A19" s="3"/>
      <c r="B19" s="3"/>
      <c r="F19" s="14"/>
      <c r="G19" s="72"/>
      <c r="H19" s="12"/>
      <c r="I19" s="12"/>
      <c r="J19" s="41"/>
      <c r="K19" s="12"/>
      <c r="L19" s="12"/>
      <c r="O19" s="2"/>
      <c r="P19" s="67"/>
    </row>
    <row r="20" spans="1:16" ht="15.75" x14ac:dyDescent="0.25">
      <c r="A20" s="357" t="s">
        <v>106</v>
      </c>
      <c r="B20" s="358"/>
      <c r="C20" s="358"/>
      <c r="F20" s="14"/>
      <c r="G20" s="72"/>
      <c r="H20" s="12"/>
      <c r="I20" s="12"/>
      <c r="J20" s="41"/>
      <c r="K20" s="12"/>
      <c r="L20" s="12"/>
      <c r="O20" s="2"/>
      <c r="P20" s="67"/>
    </row>
    <row r="21" spans="1:16" x14ac:dyDescent="0.2">
      <c r="A21" s="3" t="s">
        <v>93</v>
      </c>
      <c r="B21" s="3"/>
      <c r="F21" s="14"/>
      <c r="G21" s="72"/>
      <c r="H21" s="12"/>
      <c r="I21" s="12"/>
      <c r="J21" s="41"/>
      <c r="K21" s="12"/>
      <c r="L21" s="12"/>
      <c r="O21" s="2"/>
      <c r="P21" s="67"/>
    </row>
    <row r="22" spans="1:16" x14ac:dyDescent="0.2">
      <c r="A22" s="3"/>
      <c r="B22" s="3"/>
      <c r="F22" s="14"/>
      <c r="G22" s="72"/>
      <c r="H22" s="12"/>
      <c r="I22" s="12"/>
      <c r="J22" s="41"/>
      <c r="K22" s="12"/>
      <c r="L22" s="12"/>
      <c r="O22" s="2"/>
      <c r="P22" s="67"/>
    </row>
    <row r="23" spans="1:16" s="2" customFormat="1" x14ac:dyDescent="0.2">
      <c r="B23" s="2" t="s">
        <v>98</v>
      </c>
      <c r="C23" s="2" t="s">
        <v>99</v>
      </c>
      <c r="D23" s="2" t="s">
        <v>128</v>
      </c>
      <c r="E23" s="2" t="s">
        <v>129</v>
      </c>
      <c r="F23" s="47"/>
      <c r="G23" s="89"/>
      <c r="H23" s="60"/>
      <c r="I23" s="60"/>
      <c r="J23" s="90"/>
      <c r="K23" s="60"/>
      <c r="L23" s="60"/>
      <c r="P23" s="91"/>
    </row>
    <row r="24" spans="1:16" x14ac:dyDescent="0.2">
      <c r="A24" s="3" t="s">
        <v>96</v>
      </c>
      <c r="B24" s="3">
        <f>A17</f>
        <v>200</v>
      </c>
      <c r="C24">
        <f>A17</f>
        <v>200</v>
      </c>
      <c r="D24">
        <f>B17</f>
        <v>150</v>
      </c>
      <c r="E24">
        <f>B17</f>
        <v>150</v>
      </c>
      <c r="F24" s="14"/>
      <c r="G24" s="72"/>
      <c r="H24" s="12"/>
      <c r="I24" s="12"/>
      <c r="J24" s="41"/>
      <c r="K24" s="12"/>
      <c r="L24" s="12"/>
      <c r="O24" s="2"/>
      <c r="P24" s="67"/>
    </row>
    <row r="25" spans="1:16" x14ac:dyDescent="0.2">
      <c r="A25" s="3" t="s">
        <v>94</v>
      </c>
      <c r="B25" s="3">
        <v>1</v>
      </c>
      <c r="C25">
        <v>1</v>
      </c>
      <c r="D25" s="72">
        <f>F7</f>
        <v>0.75</v>
      </c>
      <c r="E25" s="72">
        <f>F10</f>
        <v>0.63829787234042556</v>
      </c>
      <c r="F25" s="14"/>
      <c r="G25" s="72"/>
      <c r="H25" s="12"/>
      <c r="I25" s="12"/>
      <c r="J25" s="41"/>
      <c r="K25" s="12"/>
      <c r="L25" s="12"/>
      <c r="O25" s="2"/>
      <c r="P25" s="67"/>
    </row>
    <row r="26" spans="1:16" x14ac:dyDescent="0.2">
      <c r="A26" s="3"/>
      <c r="B26" s="3"/>
      <c r="F26" s="14"/>
      <c r="G26" s="72"/>
      <c r="H26" s="12"/>
      <c r="I26" s="12"/>
      <c r="J26" s="41"/>
      <c r="K26" s="12"/>
      <c r="L26" s="12"/>
      <c r="O26" s="2"/>
      <c r="P26" s="67"/>
    </row>
    <row r="27" spans="1:16" x14ac:dyDescent="0.2">
      <c r="A27" s="87" t="s">
        <v>100</v>
      </c>
      <c r="B27" s="3">
        <f>B24/B25</f>
        <v>200</v>
      </c>
      <c r="C27" s="3">
        <f>C24/C25</f>
        <v>200</v>
      </c>
      <c r="D27" s="11">
        <f>D24/D25</f>
        <v>200</v>
      </c>
      <c r="E27" s="11">
        <f>E24/E25</f>
        <v>235</v>
      </c>
      <c r="F27" s="14"/>
      <c r="G27" s="72"/>
      <c r="H27" s="12"/>
      <c r="I27" s="12"/>
      <c r="J27" s="41"/>
      <c r="K27" s="12"/>
      <c r="L27" s="12"/>
      <c r="O27" s="2"/>
      <c r="P27" s="67"/>
    </row>
    <row r="28" spans="1:16" x14ac:dyDescent="0.2">
      <c r="A28" s="86"/>
      <c r="B28" s="3"/>
      <c r="F28" s="14"/>
      <c r="G28" s="72"/>
      <c r="H28" s="12"/>
      <c r="I28" s="12"/>
      <c r="J28" s="41"/>
      <c r="K28" s="12"/>
      <c r="L28" s="12"/>
      <c r="O28" s="2"/>
      <c r="P28" s="67"/>
    </row>
    <row r="29" spans="1:16" s="3" customFormat="1" x14ac:dyDescent="0.2">
      <c r="A29" s="87" t="s">
        <v>127</v>
      </c>
      <c r="B29" s="3">
        <f>IF(D29=1,0,1)</f>
        <v>1</v>
      </c>
      <c r="C29" s="3">
        <f>IF(E29=1,0,1)</f>
        <v>0</v>
      </c>
      <c r="D29" s="3">
        <f>IF(D27&gt;B27,1,0)</f>
        <v>0</v>
      </c>
      <c r="E29" s="3">
        <f>IF(E27&gt;B27,1,0)</f>
        <v>1</v>
      </c>
      <c r="F29" s="14"/>
      <c r="G29" s="73"/>
      <c r="H29" s="12"/>
      <c r="I29" s="12"/>
      <c r="J29" s="41"/>
      <c r="K29" s="12"/>
      <c r="L29" s="12"/>
      <c r="P29" s="93"/>
    </row>
    <row r="30" spans="1:16" s="3" customFormat="1" x14ac:dyDescent="0.2">
      <c r="A30" s="87"/>
      <c r="F30" s="14"/>
      <c r="G30" s="73"/>
      <c r="H30" s="12"/>
      <c r="I30" s="12"/>
      <c r="J30" s="41"/>
      <c r="K30" s="12"/>
      <c r="L30" s="12"/>
      <c r="P30" s="93"/>
    </row>
    <row r="31" spans="1:16" s="3" customFormat="1" x14ac:dyDescent="0.2">
      <c r="A31" s="88" t="s">
        <v>130</v>
      </c>
      <c r="F31" s="47" t="s">
        <v>131</v>
      </c>
      <c r="G31" s="73"/>
      <c r="H31" s="12"/>
      <c r="I31" s="12"/>
      <c r="J31" s="41"/>
      <c r="K31" s="12"/>
      <c r="L31" s="12"/>
      <c r="P31" s="93"/>
    </row>
    <row r="32" spans="1:16" s="3" customFormat="1" x14ac:dyDescent="0.2">
      <c r="A32" t="s">
        <v>0</v>
      </c>
      <c r="B32" s="73">
        <f>$B$29*G7</f>
        <v>3.5840000000000001</v>
      </c>
      <c r="D32" s="3">
        <f>$D$29*H7</f>
        <v>0</v>
      </c>
      <c r="F32" s="73">
        <f>SUM(B32:E32)</f>
        <v>3.5840000000000001</v>
      </c>
      <c r="G32" s="73"/>
      <c r="H32" s="12"/>
      <c r="I32" s="12"/>
      <c r="J32" s="41"/>
      <c r="K32" s="12"/>
      <c r="L32" s="12"/>
      <c r="P32" s="93"/>
    </row>
    <row r="33" spans="1:16" s="3" customFormat="1" x14ac:dyDescent="0.2">
      <c r="A33" t="s">
        <v>1</v>
      </c>
      <c r="B33" s="73">
        <f>$B$29*G8</f>
        <v>4.8</v>
      </c>
      <c r="D33" s="3">
        <f t="shared" ref="D33:D34" si="1">$D$29*H8</f>
        <v>0</v>
      </c>
      <c r="F33" s="73">
        <f t="shared" ref="F33:F35" si="2">SUM(B33:E33)</f>
        <v>4.8</v>
      </c>
      <c r="G33" s="73"/>
      <c r="H33" s="12"/>
      <c r="I33" s="12"/>
      <c r="J33" s="41"/>
      <c r="K33" s="12"/>
      <c r="L33" s="12"/>
      <c r="P33" s="93"/>
    </row>
    <row r="34" spans="1:16" x14ac:dyDescent="0.2">
      <c r="A34" t="s">
        <v>2</v>
      </c>
      <c r="B34" s="73">
        <f>$B$29*G9</f>
        <v>7.04</v>
      </c>
      <c r="D34" s="3">
        <f t="shared" si="1"/>
        <v>0</v>
      </c>
      <c r="F34" s="73">
        <f t="shared" si="2"/>
        <v>7.04</v>
      </c>
      <c r="G34" s="72"/>
      <c r="H34" s="12"/>
      <c r="I34" s="12"/>
      <c r="J34" s="41"/>
      <c r="K34" s="12"/>
      <c r="L34" s="12"/>
      <c r="O34" s="2"/>
      <c r="P34" s="67"/>
    </row>
    <row r="35" spans="1:16" x14ac:dyDescent="0.2">
      <c r="A35" s="3" t="s">
        <v>5</v>
      </c>
      <c r="C35" s="73">
        <f>C29*G10</f>
        <v>0</v>
      </c>
      <c r="E35">
        <f>$E$29*H10</f>
        <v>2.88</v>
      </c>
      <c r="F35" s="73">
        <f t="shared" si="2"/>
        <v>2.88</v>
      </c>
      <c r="K35" s="11"/>
      <c r="L35" s="11"/>
      <c r="M35" s="11"/>
    </row>
    <row r="36" spans="1:16" x14ac:dyDescent="0.2">
      <c r="A36" s="3"/>
      <c r="B36" s="3"/>
      <c r="F36" s="14"/>
      <c r="K36" s="12"/>
      <c r="L36" s="11"/>
      <c r="M36" s="11"/>
    </row>
    <row r="37" spans="1:16" ht="15.75" x14ac:dyDescent="0.25">
      <c r="A37" s="357" t="s">
        <v>97</v>
      </c>
      <c r="B37" s="358"/>
      <c r="C37" s="358"/>
      <c r="D37" s="43"/>
      <c r="E37" s="360" t="s">
        <v>109</v>
      </c>
      <c r="F37" s="361"/>
      <c r="G37" s="361"/>
      <c r="H37" s="358"/>
      <c r="I37" s="358"/>
      <c r="J37" s="358"/>
      <c r="K37" s="12"/>
      <c r="L37" s="11"/>
      <c r="M37" s="11"/>
    </row>
    <row r="38" spans="1:16" x14ac:dyDescent="0.2">
      <c r="A38" s="3" t="s">
        <v>141</v>
      </c>
      <c r="F38" s="14"/>
      <c r="L38" s="11"/>
    </row>
    <row r="39" spans="1:16" x14ac:dyDescent="0.2">
      <c r="A39" s="51" t="s">
        <v>113</v>
      </c>
      <c r="B39" s="51"/>
      <c r="C39" s="51"/>
      <c r="D39" s="51"/>
      <c r="G39" s="2" t="s">
        <v>110</v>
      </c>
      <c r="L39" s="11"/>
    </row>
    <row r="40" spans="1:16" s="2" customFormat="1" x14ac:dyDescent="0.2">
      <c r="J40"/>
      <c r="K40"/>
    </row>
    <row r="41" spans="1:16" x14ac:dyDescent="0.2">
      <c r="A41" s="2"/>
      <c r="B41" s="2" t="s">
        <v>63</v>
      </c>
      <c r="C41" s="2" t="s">
        <v>64</v>
      </c>
      <c r="D41" s="2" t="s">
        <v>41</v>
      </c>
      <c r="E41" s="47" t="s">
        <v>111</v>
      </c>
      <c r="F41" s="47" t="s">
        <v>140</v>
      </c>
      <c r="G41" s="2" t="s">
        <v>112</v>
      </c>
      <c r="H41" s="2"/>
      <c r="I41" s="2"/>
      <c r="L41" s="48"/>
      <c r="M41" s="48"/>
    </row>
    <row r="42" spans="1:16" x14ac:dyDescent="0.2">
      <c r="E42" s="3" t="s">
        <v>123</v>
      </c>
    </row>
    <row r="43" spans="1:16" x14ac:dyDescent="0.2">
      <c r="A43" s="3" t="str">
        <f>A7</f>
        <v>XC (VGA)</v>
      </c>
      <c r="B43" s="12">
        <f>B24*B29+D24*D29</f>
        <v>200</v>
      </c>
      <c r="C43" s="75">
        <f>F32</f>
        <v>3.5840000000000001</v>
      </c>
      <c r="D43" s="96">
        <f>C43/B43</f>
        <v>1.7920000000000002E-2</v>
      </c>
      <c r="E43" s="69">
        <f>Lens!$E$5</f>
        <v>200</v>
      </c>
      <c r="F43" s="22">
        <f>E43+$K$92</f>
        <v>228.19499999999999</v>
      </c>
      <c r="G43" s="105">
        <f>F43*D43</f>
        <v>4.0892544000000006</v>
      </c>
    </row>
    <row r="44" spans="1:16" x14ac:dyDescent="0.2">
      <c r="A44" s="3" t="str">
        <f>A8</f>
        <v>XC (1.2 MP)</v>
      </c>
      <c r="B44" s="12">
        <f>B24*B29+D24*D29</f>
        <v>200</v>
      </c>
      <c r="C44" s="75">
        <f t="shared" ref="C44:C46" si="3">F33</f>
        <v>4.8</v>
      </c>
      <c r="D44" s="96">
        <f>C44/B44</f>
        <v>2.4E-2</v>
      </c>
      <c r="E44" s="69">
        <f>Lens!$E$5</f>
        <v>200</v>
      </c>
      <c r="F44" s="22">
        <f>E44+$K$92</f>
        <v>228.19499999999999</v>
      </c>
      <c r="G44" s="105">
        <f t="shared" ref="G44:G46" si="4">F44*D44</f>
        <v>5.47668</v>
      </c>
    </row>
    <row r="45" spans="1:16" x14ac:dyDescent="0.2">
      <c r="A45" s="3" t="str">
        <f>A9</f>
        <v>XC (2.0 MP)</v>
      </c>
      <c r="B45" s="12">
        <f>B24*B29+D24*D29</f>
        <v>200</v>
      </c>
      <c r="C45" s="75">
        <f t="shared" si="3"/>
        <v>7.04</v>
      </c>
      <c r="D45" s="96">
        <f>C45/B45</f>
        <v>3.5200000000000002E-2</v>
      </c>
      <c r="E45" s="69">
        <f>Lens!$E$5</f>
        <v>200</v>
      </c>
      <c r="F45" s="22">
        <f>E45+$K$92</f>
        <v>228.19499999999999</v>
      </c>
      <c r="G45" s="105">
        <f t="shared" si="4"/>
        <v>8.0324640000000009</v>
      </c>
    </row>
    <row r="46" spans="1:16" x14ac:dyDescent="0.2">
      <c r="A46" s="3" t="str">
        <f>A10</f>
        <v>CS / ID / XF-Serie</v>
      </c>
      <c r="B46" s="12">
        <f>C24*C29+E24*E29</f>
        <v>150</v>
      </c>
      <c r="C46" s="75">
        <f t="shared" si="3"/>
        <v>2.88</v>
      </c>
      <c r="D46" s="96">
        <f>C46/B46</f>
        <v>1.9199999999999998E-2</v>
      </c>
      <c r="E46" s="69">
        <f>Lens!$E$5</f>
        <v>200</v>
      </c>
      <c r="F46" s="22">
        <f>E46</f>
        <v>200</v>
      </c>
      <c r="G46" s="105">
        <f t="shared" si="4"/>
        <v>3.84</v>
      </c>
    </row>
    <row r="47" spans="1:16" x14ac:dyDescent="0.2">
      <c r="A47" s="3" t="str">
        <f>A11</f>
        <v>VXS</v>
      </c>
      <c r="B47" s="72"/>
      <c r="C47" s="72"/>
      <c r="E47" s="7"/>
      <c r="F47" s="7"/>
      <c r="G47" s="14"/>
      <c r="H47" s="3"/>
      <c r="I47" s="101" t="s">
        <v>300</v>
      </c>
    </row>
    <row r="48" spans="1:16" x14ac:dyDescent="0.2">
      <c r="A48" s="3"/>
      <c r="B48" s="72"/>
      <c r="C48" s="72"/>
      <c r="F48" s="7"/>
      <c r="G48" s="14"/>
      <c r="I48" s="101" t="s">
        <v>299</v>
      </c>
    </row>
    <row r="49" spans="1:10" x14ac:dyDescent="0.2">
      <c r="A49" s="3"/>
      <c r="B49" s="72"/>
      <c r="C49" s="72"/>
      <c r="G49" s="14"/>
      <c r="I49" s="101" t="s">
        <v>22</v>
      </c>
    </row>
    <row r="50" spans="1:10" x14ac:dyDescent="0.2">
      <c r="A50" s="3"/>
      <c r="B50" s="72"/>
      <c r="C50" s="72"/>
      <c r="G50" s="14"/>
      <c r="I50" s="101" t="s">
        <v>70</v>
      </c>
    </row>
    <row r="51" spans="1:10" x14ac:dyDescent="0.2">
      <c r="F51" s="14"/>
      <c r="I51" s="101" t="s">
        <v>69</v>
      </c>
    </row>
    <row r="52" spans="1:10" x14ac:dyDescent="0.2">
      <c r="A52" s="3"/>
      <c r="B52" s="72"/>
      <c r="C52" s="72"/>
      <c r="F52" s="14"/>
      <c r="I52" s="101" t="s">
        <v>28</v>
      </c>
    </row>
    <row r="53" spans="1:10" x14ac:dyDescent="0.2">
      <c r="A53" s="3"/>
      <c r="B53" s="72"/>
      <c r="C53" s="72"/>
      <c r="F53" s="9"/>
      <c r="G53" s="9"/>
      <c r="H53" s="9"/>
      <c r="I53" s="101" t="s">
        <v>73</v>
      </c>
    </row>
    <row r="56" spans="1:10" ht="15.75" x14ac:dyDescent="0.25">
      <c r="A56" s="357" t="s">
        <v>118</v>
      </c>
      <c r="B56" s="358"/>
      <c r="C56" s="358"/>
      <c r="F56" s="79"/>
      <c r="G56" s="7"/>
      <c r="H56" s="9"/>
    </row>
    <row r="57" spans="1:10" x14ac:dyDescent="0.2">
      <c r="A57" s="3" t="s">
        <v>101</v>
      </c>
      <c r="B57" s="72"/>
      <c r="C57" s="72"/>
      <c r="H57" s="58"/>
    </row>
    <row r="58" spans="1:10" x14ac:dyDescent="0.2">
      <c r="A58" s="3"/>
      <c r="B58" s="72"/>
      <c r="C58" s="72"/>
      <c r="E58" s="79"/>
      <c r="F58" s="7"/>
    </row>
    <row r="59" spans="1:10" x14ac:dyDescent="0.2">
      <c r="A59" s="9" t="s">
        <v>65</v>
      </c>
      <c r="B59" s="9"/>
      <c r="C59" s="49"/>
      <c r="D59" s="9"/>
      <c r="G59" s="9" t="s">
        <v>45</v>
      </c>
      <c r="H59" s="50"/>
    </row>
    <row r="60" spans="1:10" x14ac:dyDescent="0.2">
      <c r="A60" s="2" t="s">
        <v>115</v>
      </c>
      <c r="B60" s="58" t="str">
        <f>A7</f>
        <v>XC (VGA)</v>
      </c>
      <c r="C60" s="58" t="str">
        <f>A8</f>
        <v>XC (1.2 MP)</v>
      </c>
      <c r="D60" s="59" t="str">
        <f>A9</f>
        <v>XC (2.0 MP)</v>
      </c>
      <c r="E60" s="2" t="str">
        <f>A10</f>
        <v>CS / ID / XF-Serie</v>
      </c>
      <c r="F60" s="58"/>
      <c r="G60" s="58" t="str">
        <f>A7</f>
        <v>XC (VGA)</v>
      </c>
      <c r="H60" s="58" t="str">
        <f>A8</f>
        <v>XC (1.2 MP)</v>
      </c>
      <c r="I60" s="59" t="str">
        <f>A9</f>
        <v>XC (2.0 MP)</v>
      </c>
      <c r="J60" t="str">
        <f>A10</f>
        <v>CS / ID / XF-Serie</v>
      </c>
    </row>
    <row r="61" spans="1:10" x14ac:dyDescent="0.2">
      <c r="A61" s="2">
        <v>1</v>
      </c>
      <c r="B61">
        <f t="shared" ref="B61:D62" si="5">$E82</f>
        <v>4.3</v>
      </c>
      <c r="C61" s="7">
        <f t="shared" si="5"/>
        <v>4.3</v>
      </c>
      <c r="D61" s="102">
        <f t="shared" si="5"/>
        <v>4.3</v>
      </c>
      <c r="E61">
        <v>8</v>
      </c>
      <c r="G61" s="94">
        <f>ABS(B61-$G$43)</f>
        <v>0.2107455999999992</v>
      </c>
      <c r="H61" s="296">
        <f>ABS(C61-$G$44)</f>
        <v>1.1766800000000002</v>
      </c>
      <c r="I61" s="103">
        <f>ABS(D61-$G$45)</f>
        <v>3.7324640000000011</v>
      </c>
      <c r="J61" s="126">
        <f>ABS(E61-$G$46)</f>
        <v>4.16</v>
      </c>
    </row>
    <row r="62" spans="1:10" x14ac:dyDescent="0.2">
      <c r="A62" s="2">
        <v>2</v>
      </c>
      <c r="B62">
        <f t="shared" si="5"/>
        <v>6</v>
      </c>
      <c r="C62">
        <f t="shared" si="5"/>
        <v>6</v>
      </c>
      <c r="D62" s="37">
        <f t="shared" si="5"/>
        <v>6</v>
      </c>
      <c r="E62">
        <v>10</v>
      </c>
      <c r="G62" s="94">
        <f>ABS(B62-$G$43)</f>
        <v>1.9107455999999994</v>
      </c>
      <c r="H62" s="94">
        <f t="shared" ref="H62" si="6">ABS(C62-$G$44)</f>
        <v>0.52332000000000001</v>
      </c>
      <c r="I62" s="126">
        <f t="shared" ref="I62" si="7">ABS(D62-$G$45)</f>
        <v>2.0324640000000009</v>
      </c>
      <c r="J62" s="126">
        <f t="shared" ref="J62:J64" si="8">ABS(E62-$G$46)</f>
        <v>6.16</v>
      </c>
    </row>
    <row r="63" spans="1:10" x14ac:dyDescent="0.2">
      <c r="A63" s="2">
        <v>3</v>
      </c>
      <c r="B63">
        <f t="shared" ref="B63:D63" si="9">$E84</f>
        <v>8.1999999999999993</v>
      </c>
      <c r="C63">
        <f t="shared" si="9"/>
        <v>8.1999999999999993</v>
      </c>
      <c r="D63" s="37">
        <f t="shared" si="9"/>
        <v>8.1999999999999993</v>
      </c>
      <c r="E63">
        <v>12</v>
      </c>
      <c r="G63" s="94">
        <f t="shared" ref="G63:G70" si="10">ABS(B63-$G$43)</f>
        <v>4.1107455999999987</v>
      </c>
      <c r="H63" s="94">
        <f t="shared" ref="H63:H70" si="11">ABS(C63-$G$44)</f>
        <v>2.7233199999999993</v>
      </c>
      <c r="I63" s="126">
        <f t="shared" ref="I63:I70" si="12">ABS(D63-$G$45)</f>
        <v>0.16753599999999835</v>
      </c>
      <c r="J63" s="126">
        <f t="shared" si="8"/>
        <v>8.16</v>
      </c>
    </row>
    <row r="64" spans="1:10" x14ac:dyDescent="0.2">
      <c r="A64" s="2">
        <v>4</v>
      </c>
      <c r="B64">
        <f t="shared" ref="B64:D64" si="13">$E85</f>
        <v>8.5399999999999991</v>
      </c>
      <c r="C64" s="7">
        <f t="shared" si="13"/>
        <v>8.5399999999999991</v>
      </c>
      <c r="D64" s="102">
        <f t="shared" si="13"/>
        <v>8.5399999999999991</v>
      </c>
      <c r="E64">
        <v>16</v>
      </c>
      <c r="G64" s="94">
        <f t="shared" si="10"/>
        <v>4.4507455999999985</v>
      </c>
      <c r="H64" s="296">
        <f t="shared" si="11"/>
        <v>3.0633199999999992</v>
      </c>
      <c r="I64" s="103">
        <f t="shared" si="12"/>
        <v>0.50753599999999821</v>
      </c>
      <c r="J64" s="126">
        <f t="shared" si="8"/>
        <v>12.16</v>
      </c>
    </row>
    <row r="65" spans="1:13" x14ac:dyDescent="0.2">
      <c r="A65" s="2">
        <v>5</v>
      </c>
      <c r="B65">
        <f t="shared" ref="B65:D65" si="14">$E86</f>
        <v>12.3</v>
      </c>
      <c r="C65">
        <f t="shared" si="14"/>
        <v>12.3</v>
      </c>
      <c r="D65" s="37">
        <f t="shared" si="14"/>
        <v>12.3</v>
      </c>
      <c r="G65" s="94">
        <f t="shared" si="10"/>
        <v>8.2107455999999992</v>
      </c>
      <c r="H65" s="94">
        <f t="shared" si="11"/>
        <v>6.8233200000000007</v>
      </c>
      <c r="I65" s="126">
        <f t="shared" si="12"/>
        <v>4.2675359999999998</v>
      </c>
    </row>
    <row r="66" spans="1:13" x14ac:dyDescent="0.2">
      <c r="A66" s="2">
        <v>6</v>
      </c>
      <c r="B66">
        <f t="shared" ref="B66:D66" si="15">$E87</f>
        <v>16</v>
      </c>
      <c r="C66">
        <f t="shared" si="15"/>
        <v>16</v>
      </c>
      <c r="D66" s="37">
        <f t="shared" si="15"/>
        <v>16</v>
      </c>
      <c r="G66" s="94">
        <f t="shared" si="10"/>
        <v>11.910745599999998</v>
      </c>
      <c r="H66" s="94">
        <f t="shared" si="11"/>
        <v>10.52332</v>
      </c>
      <c r="I66" s="126">
        <f t="shared" si="12"/>
        <v>7.9675359999999991</v>
      </c>
    </row>
    <row r="67" spans="1:13" x14ac:dyDescent="0.2">
      <c r="A67" s="2">
        <v>7</v>
      </c>
      <c r="B67">
        <f t="shared" ref="B67:D67" si="16">$E88</f>
        <v>25.6</v>
      </c>
      <c r="C67">
        <f t="shared" si="16"/>
        <v>25.6</v>
      </c>
      <c r="D67" s="37">
        <f t="shared" si="16"/>
        <v>25.6</v>
      </c>
      <c r="G67" s="94">
        <f t="shared" si="10"/>
        <v>21.5107456</v>
      </c>
      <c r="H67" s="94">
        <f t="shared" si="11"/>
        <v>20.12332</v>
      </c>
      <c r="I67" s="126">
        <f t="shared" si="12"/>
        <v>17.567536</v>
      </c>
      <c r="K67" s="11"/>
      <c r="L67" s="11"/>
      <c r="M67" s="11"/>
    </row>
    <row r="68" spans="1:13" x14ac:dyDescent="0.2">
      <c r="A68" s="2">
        <v>8</v>
      </c>
      <c r="B68">
        <f t="shared" ref="B68:D68" si="17">$E89</f>
        <v>34</v>
      </c>
      <c r="C68">
        <f t="shared" si="17"/>
        <v>34</v>
      </c>
      <c r="D68" s="37">
        <f t="shared" si="17"/>
        <v>34</v>
      </c>
      <c r="G68" s="94">
        <f t="shared" si="10"/>
        <v>29.910745599999998</v>
      </c>
      <c r="H68" s="94">
        <f t="shared" si="11"/>
        <v>28.523319999999998</v>
      </c>
      <c r="I68" s="126">
        <f t="shared" si="12"/>
        <v>25.967535999999999</v>
      </c>
      <c r="K68" s="11"/>
      <c r="L68" s="11"/>
      <c r="M68" s="11"/>
    </row>
    <row r="69" spans="1:13" x14ac:dyDescent="0.2">
      <c r="A69" s="2">
        <v>9</v>
      </c>
      <c r="B69">
        <f t="shared" ref="B69:D69" si="18">$E90</f>
        <v>48.8</v>
      </c>
      <c r="C69">
        <f t="shared" si="18"/>
        <v>48.8</v>
      </c>
      <c r="D69" s="37">
        <f t="shared" si="18"/>
        <v>48.8</v>
      </c>
      <c r="G69" s="94">
        <f t="shared" si="10"/>
        <v>44.710745599999996</v>
      </c>
      <c r="H69" s="94">
        <f t="shared" si="11"/>
        <v>43.323319999999995</v>
      </c>
      <c r="I69" s="126">
        <f t="shared" si="12"/>
        <v>40.767535999999993</v>
      </c>
      <c r="K69" s="11"/>
      <c r="L69" s="11"/>
      <c r="M69" s="11"/>
    </row>
    <row r="70" spans="1:13" x14ac:dyDescent="0.2">
      <c r="A70" s="2">
        <v>10</v>
      </c>
      <c r="B70">
        <f t="shared" ref="B70:D70" si="19">$E91</f>
        <v>72.8</v>
      </c>
      <c r="C70">
        <f t="shared" si="19"/>
        <v>72.8</v>
      </c>
      <c r="D70" s="37">
        <f t="shared" si="19"/>
        <v>72.8</v>
      </c>
      <c r="G70" s="94">
        <f t="shared" si="10"/>
        <v>68.710745599999996</v>
      </c>
      <c r="H70" s="94">
        <f t="shared" si="11"/>
        <v>67.323319999999995</v>
      </c>
      <c r="I70" s="126">
        <f t="shared" si="12"/>
        <v>64.767535999999993</v>
      </c>
    </row>
    <row r="71" spans="1:13" x14ac:dyDescent="0.2">
      <c r="D71" s="14"/>
      <c r="F71" s="106" t="s">
        <v>44</v>
      </c>
      <c r="G71" s="104">
        <f>MIN(G61:G70)</f>
        <v>0.2107455999999992</v>
      </c>
      <c r="H71" s="104">
        <f>MIN(H61:H70)</f>
        <v>0.52332000000000001</v>
      </c>
      <c r="I71" s="104">
        <f>MIN(I61:I70)</f>
        <v>0.16753599999999835</v>
      </c>
      <c r="J71" s="104">
        <f>MIN(J61:J64)</f>
        <v>4.16</v>
      </c>
      <c r="K71" s="11"/>
      <c r="L71" s="11"/>
      <c r="M71" s="11"/>
    </row>
    <row r="72" spans="1:13" x14ac:dyDescent="0.2">
      <c r="D72" s="14"/>
      <c r="F72" s="106"/>
      <c r="G72" s="82"/>
      <c r="H72" s="82"/>
      <c r="I72" s="51"/>
      <c r="K72" s="11"/>
      <c r="L72" s="11"/>
      <c r="M72" s="11"/>
    </row>
    <row r="73" spans="1:13" x14ac:dyDescent="0.2">
      <c r="B73" s="3"/>
      <c r="C73" s="7"/>
      <c r="F73" s="18" t="s">
        <v>114</v>
      </c>
      <c r="G73" s="3">
        <f>MATCH($G$71,G61:G70,0)</f>
        <v>1</v>
      </c>
      <c r="H73" s="3">
        <f>MATCH($H$71,H61:H70,0)</f>
        <v>2</v>
      </c>
      <c r="I73" s="3">
        <f>MATCH($I$71,I61:I70,0)</f>
        <v>3</v>
      </c>
      <c r="J73" s="3">
        <f>MATCH($J$71,J61:J64,0)</f>
        <v>1</v>
      </c>
      <c r="K73" s="11"/>
      <c r="L73" s="11"/>
      <c r="M73" s="11"/>
    </row>
    <row r="74" spans="1:13" ht="12.75" customHeight="1" x14ac:dyDescent="0.2">
      <c r="B74" s="3"/>
      <c r="C74" s="7"/>
      <c r="F74" s="18" t="s">
        <v>116</v>
      </c>
      <c r="G74" s="3">
        <f>Lens!$B$3-2</f>
        <v>0</v>
      </c>
      <c r="H74" s="3">
        <f>Lens!$B$3-2</f>
        <v>0</v>
      </c>
      <c r="I74" s="3">
        <f>Lens!$B$3-2</f>
        <v>0</v>
      </c>
      <c r="J74" s="3">
        <f>Lens!$B$3-2</f>
        <v>0</v>
      </c>
      <c r="K74" s="295" t="s">
        <v>344</v>
      </c>
      <c r="L74" s="11"/>
      <c r="M74" s="11"/>
    </row>
    <row r="75" spans="1:13" x14ac:dyDescent="0.2">
      <c r="A75" s="3"/>
      <c r="B75" s="3"/>
      <c r="F75" s="18" t="s">
        <v>117</v>
      </c>
      <c r="G75">
        <f>G73+G74</f>
        <v>1</v>
      </c>
      <c r="H75">
        <f>H73+H74</f>
        <v>2</v>
      </c>
      <c r="I75">
        <f>I73+I74</f>
        <v>3</v>
      </c>
      <c r="J75">
        <f>J73+J74</f>
        <v>1</v>
      </c>
      <c r="K75" s="11"/>
      <c r="L75" s="11"/>
      <c r="M75" s="11"/>
    </row>
    <row r="76" spans="1:13" x14ac:dyDescent="0.2">
      <c r="D76" s="43"/>
      <c r="F76" s="77" t="s">
        <v>120</v>
      </c>
      <c r="G76" s="2">
        <f>IF(G75&lt;=1,1,(IF(G75&gt;=10,10,G75)))</f>
        <v>1</v>
      </c>
      <c r="H76" s="2">
        <f>IF(H75=4,3,IF(H75&lt;=1,2,IF(H75&gt;=10,10,H75)))</f>
        <v>2</v>
      </c>
      <c r="I76" s="2">
        <f>IF(I75=4,3,IF(I75&lt;=1,2,IF(I75&gt;=10,10,I75)))</f>
        <v>3</v>
      </c>
      <c r="J76" s="35">
        <f>IF(J75&lt;=1,1,(IF(J75&gt;=4,4,J75)))</f>
        <v>1</v>
      </c>
      <c r="K76" s="295" t="s">
        <v>345</v>
      </c>
      <c r="L76" s="11"/>
    </row>
    <row r="77" spans="1:13" s="9" customFormat="1" x14ac:dyDescent="0.2">
      <c r="K77" s="3" t="s">
        <v>349</v>
      </c>
    </row>
    <row r="78" spans="1:13" s="58" customFormat="1" x14ac:dyDescent="0.2"/>
    <row r="79" spans="1:13" s="58" customFormat="1" x14ac:dyDescent="0.2">
      <c r="H79" s="297"/>
    </row>
    <row r="80" spans="1:13" ht="15.75" x14ac:dyDescent="0.25">
      <c r="A80" s="357" t="s">
        <v>119</v>
      </c>
      <c r="B80" s="358"/>
      <c r="C80" s="358"/>
      <c r="D80" s="9"/>
      <c r="E80" s="9"/>
      <c r="F80" s="9"/>
      <c r="G80" s="9"/>
      <c r="H80" s="9"/>
      <c r="I80" s="9"/>
      <c r="J80" s="9"/>
      <c r="K80" s="9"/>
      <c r="L80" s="9"/>
    </row>
    <row r="81" spans="1:13" ht="51" x14ac:dyDescent="0.2">
      <c r="A81" s="2" t="s">
        <v>115</v>
      </c>
      <c r="B81" s="58" t="s">
        <v>46</v>
      </c>
      <c r="C81" s="58" t="s">
        <v>47</v>
      </c>
      <c r="D81" s="58" t="str">
        <f>'HW Daten'!K4</f>
        <v>dC: Objektivlänge von Objektivvorderseite bis C-Mount Auflage (Zeichnung Pentax)</v>
      </c>
      <c r="E81" s="58" t="str">
        <f>'HW Daten'!E4</f>
        <v>f focal length Flyer</v>
      </c>
      <c r="F81" s="58" t="str">
        <f>'HW Daten'!G4</f>
        <v>Total length d</v>
      </c>
      <c r="G81" s="48" t="s">
        <v>28</v>
      </c>
      <c r="H81" s="58" t="str">
        <f>'HW Daten'!H4</f>
        <v>H1 (Hauptebene 1)</v>
      </c>
      <c r="I81" s="58" t="str">
        <f>'HW Daten'!I4</f>
        <v>H2 (Hauptebene 2)</v>
      </c>
      <c r="J81" s="58" t="str">
        <f>'HW Daten'!M4</f>
        <v>Minimale Objektdistanz ("MOD")</v>
      </c>
      <c r="K81" s="58" t="s">
        <v>73</v>
      </c>
      <c r="L81" s="58" t="s">
        <v>80</v>
      </c>
    </row>
    <row r="82" spans="1:13" x14ac:dyDescent="0.2">
      <c r="A82" s="2">
        <v>1</v>
      </c>
      <c r="B82" s="3" t="str">
        <f>'HW Daten'!D5</f>
        <v>FL-HC0416X-VG 4.2 mm</v>
      </c>
      <c r="C82">
        <f>'HW Daten'!B5</f>
        <v>11037579</v>
      </c>
      <c r="D82" s="12">
        <f>'HW Daten'!K5</f>
        <v>43.5</v>
      </c>
      <c r="E82" s="3">
        <f>'HW Daten'!E5</f>
        <v>4.3</v>
      </c>
      <c r="F82" s="12">
        <f>'HW Daten'!G5</f>
        <v>61</v>
      </c>
      <c r="G82" s="12">
        <f>'HW Daten'!J5</f>
        <v>37.900000000000006</v>
      </c>
      <c r="H82" s="12">
        <f>'HW Daten'!H5</f>
        <v>42.2</v>
      </c>
      <c r="I82" s="12">
        <f>'HW Daten'!I5</f>
        <v>4.3</v>
      </c>
      <c r="J82" s="69">
        <f>'HW Daten'!M5</f>
        <v>200</v>
      </c>
      <c r="K82" s="23">
        <f>F82-I82-G82</f>
        <v>18.799999999999997</v>
      </c>
      <c r="L82" t="s">
        <v>81</v>
      </c>
    </row>
    <row r="83" spans="1:13" x14ac:dyDescent="0.2">
      <c r="A83" s="2">
        <v>2</v>
      </c>
      <c r="B83" s="3" t="str">
        <f>'HW Daten'!D6</f>
        <v>ZVL-FL-HC0614-2M 1.2/6mm</v>
      </c>
      <c r="C83">
        <f>'HW Daten'!B6</f>
        <v>11008992</v>
      </c>
      <c r="D83" s="12">
        <f>'HW Daten'!K6</f>
        <v>37.5</v>
      </c>
      <c r="E83" s="3">
        <f>'HW Daten'!E6</f>
        <v>6</v>
      </c>
      <c r="F83" s="12">
        <f>'HW Daten'!G6</f>
        <v>55</v>
      </c>
      <c r="G83" s="12">
        <f>'HW Daten'!J6</f>
        <v>29.200000000000003</v>
      </c>
      <c r="H83" s="12">
        <f>'HW Daten'!H6</f>
        <v>35.200000000000003</v>
      </c>
      <c r="I83" s="12">
        <f>'HW Daten'!I6</f>
        <v>6</v>
      </c>
      <c r="J83" s="69">
        <f>'HW Daten'!M6</f>
        <v>100</v>
      </c>
      <c r="K83" s="23">
        <f t="shared" ref="K83:K91" si="20">F83-I83-G83</f>
        <v>19.799999999999997</v>
      </c>
      <c r="L83" s="3" t="s">
        <v>358</v>
      </c>
    </row>
    <row r="84" spans="1:13" x14ac:dyDescent="0.2">
      <c r="A84" s="2">
        <v>3</v>
      </c>
      <c r="B84" s="3" t="str">
        <f>'HW Daten'!D7</f>
        <v>ZVL-FL-CC0814A-2M 1.5/8.0mm</v>
      </c>
      <c r="C84">
        <f>'HW Daten'!B7</f>
        <v>11150223</v>
      </c>
      <c r="D84" s="12">
        <f>'HW Daten'!K7</f>
        <v>36.700000000000003</v>
      </c>
      <c r="E84" s="3">
        <f>'HW Daten'!E7</f>
        <v>8.1999999999999993</v>
      </c>
      <c r="F84" s="12">
        <f>'HW Daten'!G7</f>
        <v>54.2</v>
      </c>
      <c r="G84" s="12">
        <f>'HW Daten'!J7</f>
        <v>22.1</v>
      </c>
      <c r="H84" s="12">
        <f>'HW Daten'!H7</f>
        <v>30.3</v>
      </c>
      <c r="I84" s="12">
        <f>'HW Daten'!I7</f>
        <v>8.1999999999999993</v>
      </c>
      <c r="J84" s="69">
        <f>'HW Daten'!M7</f>
        <v>100</v>
      </c>
      <c r="K84" s="23">
        <f t="shared" si="20"/>
        <v>23.9</v>
      </c>
      <c r="L84" s="3" t="s">
        <v>350</v>
      </c>
    </row>
    <row r="85" spans="1:13" x14ac:dyDescent="0.2">
      <c r="A85" s="2">
        <v>4</v>
      </c>
      <c r="B85" s="3" t="str">
        <f>'HW Daten'!D8</f>
        <v>ZVL-FL-CC0815B-VG 1.5/8.5mm</v>
      </c>
      <c r="C85">
        <f>'HW Daten'!B8</f>
        <v>11002877</v>
      </c>
      <c r="D85" s="12">
        <f>'HW Daten'!K8</f>
        <v>40</v>
      </c>
      <c r="E85" s="3">
        <f>'HW Daten'!E8</f>
        <v>8.5399999999999991</v>
      </c>
      <c r="F85" s="12">
        <f>'HW Daten'!G8</f>
        <v>57.5</v>
      </c>
      <c r="G85" s="12">
        <f>'HW Daten'!J8</f>
        <v>22.61</v>
      </c>
      <c r="H85" s="12">
        <f>'HW Daten'!H8</f>
        <v>31.15</v>
      </c>
      <c r="I85" s="12">
        <f>'HW Daten'!I8</f>
        <v>8.5399999999999991</v>
      </c>
      <c r="J85" s="69">
        <f>'HW Daten'!M8</f>
        <v>200</v>
      </c>
      <c r="K85" s="23">
        <f t="shared" si="20"/>
        <v>26.35</v>
      </c>
      <c r="L85" s="3" t="s">
        <v>351</v>
      </c>
    </row>
    <row r="86" spans="1:13" x14ac:dyDescent="0.2">
      <c r="A86" s="2">
        <v>5</v>
      </c>
      <c r="B86" s="3" t="str">
        <f>'HW Daten'!D9</f>
        <v>ZVL-FL-CC1214A-2M 1.4/12mm</v>
      </c>
      <c r="C86">
        <f>'HW Daten'!B9</f>
        <v>11150226</v>
      </c>
      <c r="D86" s="12">
        <f>'HW Daten'!K9</f>
        <v>45.7</v>
      </c>
      <c r="E86" s="3">
        <f>'HW Daten'!E9</f>
        <v>12.3</v>
      </c>
      <c r="F86" s="12">
        <f>'HW Daten'!G9</f>
        <v>63.2</v>
      </c>
      <c r="G86" s="12">
        <f>'HW Daten'!J9</f>
        <v>20.099999999999998</v>
      </c>
      <c r="H86" s="12">
        <f>'HW Daten'!H9</f>
        <v>32.4</v>
      </c>
      <c r="I86" s="12">
        <f>'HW Daten'!I9</f>
        <v>12.3</v>
      </c>
      <c r="J86" s="69">
        <f>'HW Daten'!M9</f>
        <v>100</v>
      </c>
      <c r="K86" s="23">
        <f t="shared" si="20"/>
        <v>30.800000000000008</v>
      </c>
      <c r="L86" s="3" t="s">
        <v>352</v>
      </c>
    </row>
    <row r="87" spans="1:13" x14ac:dyDescent="0.2">
      <c r="A87" s="2">
        <v>6</v>
      </c>
      <c r="B87" s="3" t="str">
        <f>'HW Daten'!D10</f>
        <v>ZVL-FL-CC1614A-2M 1.4/16mm</v>
      </c>
      <c r="C87">
        <f>'HW Daten'!B10</f>
        <v>11150228</v>
      </c>
      <c r="D87" s="12">
        <f>'HW Daten'!K10</f>
        <v>32.200000000000003</v>
      </c>
      <c r="E87" s="3">
        <f>'HW Daten'!E10</f>
        <v>16</v>
      </c>
      <c r="F87" s="12">
        <f>'HW Daten'!G10</f>
        <v>49.7</v>
      </c>
      <c r="G87" s="12">
        <f>'HW Daten'!J10</f>
        <v>0.19999999999999929</v>
      </c>
      <c r="H87" s="12">
        <f>'HW Daten'!H10</f>
        <v>16.2</v>
      </c>
      <c r="I87" s="12">
        <f>'HW Daten'!I10</f>
        <v>16</v>
      </c>
      <c r="J87" s="69">
        <f>'HW Daten'!M10</f>
        <v>100</v>
      </c>
      <c r="K87" s="23">
        <f t="shared" si="20"/>
        <v>33.5</v>
      </c>
      <c r="L87" s="3" t="s">
        <v>353</v>
      </c>
    </row>
    <row r="88" spans="1:13" x14ac:dyDescent="0.2">
      <c r="A88" s="2">
        <v>7</v>
      </c>
      <c r="B88" s="3" t="str">
        <f>'HW Daten'!D11</f>
        <v>ZVL-FL-CC2514A-2M 1.4/25mm</v>
      </c>
      <c r="C88">
        <f>'HW Daten'!B11</f>
        <v>11150229</v>
      </c>
      <c r="D88" s="12">
        <f>'HW Daten'!K11</f>
        <v>38</v>
      </c>
      <c r="E88" s="3">
        <f>'HW Daten'!E11</f>
        <v>25.6</v>
      </c>
      <c r="F88" s="12">
        <f>'HW Daten'!G11</f>
        <v>55.5</v>
      </c>
      <c r="G88" s="12">
        <f>'HW Daten'!J11</f>
        <v>-12.700000000000001</v>
      </c>
      <c r="H88" s="12">
        <f>'HW Daten'!H11</f>
        <v>12.9</v>
      </c>
      <c r="I88" s="12">
        <f>'HW Daten'!I11</f>
        <v>25.6</v>
      </c>
      <c r="J88" s="69">
        <f>'HW Daten'!M11</f>
        <v>100</v>
      </c>
      <c r="K88" s="23">
        <f t="shared" si="20"/>
        <v>42.6</v>
      </c>
      <c r="L88" s="3" t="s">
        <v>354</v>
      </c>
    </row>
    <row r="89" spans="1:13" x14ac:dyDescent="0.2">
      <c r="A89" s="2">
        <v>8</v>
      </c>
      <c r="B89" s="3" t="str">
        <f>'HW Daten'!D12</f>
        <v>ZVL-FL-CC3516-2M 1.6/35mm</v>
      </c>
      <c r="C89">
        <f>'HW Daten'!B12</f>
        <v>11003417</v>
      </c>
      <c r="D89" s="12">
        <f>'HW Daten'!K12</f>
        <v>35.4</v>
      </c>
      <c r="E89" s="3">
        <f>'HW Daten'!E12</f>
        <v>34</v>
      </c>
      <c r="F89" s="12">
        <f>'HW Daten'!G12</f>
        <v>52.9</v>
      </c>
      <c r="G89" s="12">
        <f>'HW Daten'!J12</f>
        <v>-23.1</v>
      </c>
      <c r="H89" s="12">
        <f>'HW Daten'!H12</f>
        <v>10.9</v>
      </c>
      <c r="I89" s="12">
        <f>'HW Daten'!I12</f>
        <v>34</v>
      </c>
      <c r="J89" s="69">
        <f>'HW Daten'!M12</f>
        <v>400</v>
      </c>
      <c r="K89" s="23">
        <f t="shared" si="20"/>
        <v>42</v>
      </c>
      <c r="L89" s="3" t="s">
        <v>355</v>
      </c>
    </row>
    <row r="90" spans="1:13" x14ac:dyDescent="0.2">
      <c r="A90" s="2">
        <v>9</v>
      </c>
      <c r="B90" s="3" t="str">
        <f>'HW Daten'!D13</f>
        <v>ZVL-FL-CC5024A-2M 2.8/50mm</v>
      </c>
      <c r="C90">
        <f>'HW Daten'!B13</f>
        <v>11150230</v>
      </c>
      <c r="D90" s="12">
        <f>'HW Daten'!K13</f>
        <v>46.5</v>
      </c>
      <c r="E90" s="3">
        <f>'HW Daten'!E13</f>
        <v>48.8</v>
      </c>
      <c r="F90" s="12">
        <f>'HW Daten'!G13</f>
        <v>64</v>
      </c>
      <c r="G90" s="12">
        <f>'HW Daten'!J13</f>
        <v>-9.2999999999999972</v>
      </c>
      <c r="H90" s="12">
        <f>'HW Daten'!H13</f>
        <v>39.5</v>
      </c>
      <c r="I90" s="12">
        <f>'HW Daten'!I13</f>
        <v>48.8</v>
      </c>
      <c r="J90" s="69">
        <f>'HW Daten'!M13</f>
        <v>300</v>
      </c>
      <c r="K90" s="23">
        <f t="shared" si="20"/>
        <v>24.5</v>
      </c>
      <c r="L90" s="3" t="s">
        <v>356</v>
      </c>
    </row>
    <row r="91" spans="1:13" x14ac:dyDescent="0.2">
      <c r="A91" s="2">
        <v>10</v>
      </c>
      <c r="B91" s="3" t="str">
        <f>'HW Daten'!D14</f>
        <v>ZVL-FL-CC7528-2M 2.8/75mm</v>
      </c>
      <c r="C91">
        <f>'HW Daten'!B14</f>
        <v>11003041</v>
      </c>
      <c r="D91" s="12">
        <f>'HW Daten'!K14</f>
        <v>70.099999999999994</v>
      </c>
      <c r="E91" s="3">
        <f>'HW Daten'!E14</f>
        <v>72.8</v>
      </c>
      <c r="F91" s="12">
        <f>'HW Daten'!G14</f>
        <v>77.099999999999994</v>
      </c>
      <c r="G91" s="12">
        <f>'HW Daten'!J14</f>
        <v>-15.399999999999999</v>
      </c>
      <c r="H91" s="12">
        <f>'HW Daten'!H14</f>
        <v>57.4</v>
      </c>
      <c r="I91" s="12">
        <f>'HW Daten'!I14</f>
        <v>72.8</v>
      </c>
      <c r="J91" s="69">
        <f>'HW Daten'!M14</f>
        <v>700</v>
      </c>
      <c r="K91" s="23">
        <f t="shared" si="20"/>
        <v>19.699999999999996</v>
      </c>
      <c r="L91" s="3" t="s">
        <v>357</v>
      </c>
    </row>
    <row r="92" spans="1:13" x14ac:dyDescent="0.2">
      <c r="A92" s="3"/>
      <c r="B92" s="3"/>
      <c r="G92" s="3"/>
      <c r="J92" s="77"/>
      <c r="K92" s="80">
        <f>AVERAGE(K82:K91)</f>
        <v>28.195</v>
      </c>
      <c r="L92" s="2" t="s">
        <v>157</v>
      </c>
    </row>
    <row r="93" spans="1:13" x14ac:dyDescent="0.2">
      <c r="A93" s="3"/>
      <c r="B93" s="3"/>
      <c r="D93" s="80" t="str">
        <f>'HW Daten'!L4</f>
        <v>MAD (Max.Obj.Dist.)</v>
      </c>
      <c r="F93" s="2" t="str">
        <f>'HW Daten'!J17</f>
        <v>MOD Toleranz</v>
      </c>
      <c r="G93" s="2" t="str">
        <f>'HW Daten'!I17</f>
        <v>MAD Toleranz</v>
      </c>
      <c r="J93" s="77"/>
      <c r="K93" s="2" t="s">
        <v>235</v>
      </c>
      <c r="L93" s="2"/>
    </row>
    <row r="94" spans="1:13" x14ac:dyDescent="0.2">
      <c r="A94" s="2">
        <v>1</v>
      </c>
      <c r="B94" s="3" t="str">
        <f>'HW Daten'!D18</f>
        <v>8mm</v>
      </c>
      <c r="D94" s="69">
        <f>'HW Daten'!K18</f>
        <v>2000</v>
      </c>
      <c r="E94" s="69">
        <f>'HW Daten'!E18</f>
        <v>8</v>
      </c>
      <c r="F94" s="69">
        <f>'HW Daten'!J18</f>
        <v>2</v>
      </c>
      <c r="G94" s="69">
        <f>'HW Daten'!I18</f>
        <v>5</v>
      </c>
      <c r="J94" s="69">
        <f>'HW Daten'!L18</f>
        <v>50</v>
      </c>
      <c r="K94" s="69">
        <f>'HW Daten'!M18</f>
        <v>20.85</v>
      </c>
      <c r="M94" s="69"/>
    </row>
    <row r="95" spans="1:13" x14ac:dyDescent="0.2">
      <c r="A95" s="2">
        <v>2</v>
      </c>
      <c r="B95" s="3" t="str">
        <f>'HW Daten'!D19</f>
        <v>10mm</v>
      </c>
      <c r="D95" s="69">
        <f>'HW Daten'!K19</f>
        <v>2000</v>
      </c>
      <c r="E95" s="69">
        <f>'HW Daten'!E19</f>
        <v>10</v>
      </c>
      <c r="F95" s="69">
        <f>'HW Daten'!J19</f>
        <v>2</v>
      </c>
      <c r="G95" s="69">
        <f>'HW Daten'!I19</f>
        <v>5</v>
      </c>
      <c r="J95" s="69">
        <f>'HW Daten'!L19</f>
        <v>50</v>
      </c>
      <c r="K95" s="69">
        <f>'HW Daten'!M19</f>
        <v>17.399999999999999</v>
      </c>
      <c r="M95" s="69"/>
    </row>
    <row r="96" spans="1:13" x14ac:dyDescent="0.2">
      <c r="A96" s="2">
        <v>3</v>
      </c>
      <c r="B96" s="3" t="str">
        <f>'HW Daten'!D20</f>
        <v>12mm</v>
      </c>
      <c r="D96" s="69">
        <f>'HW Daten'!K20</f>
        <v>2000</v>
      </c>
      <c r="E96" s="69">
        <f>'HW Daten'!E20</f>
        <v>12</v>
      </c>
      <c r="F96" s="69">
        <f>'HW Daten'!J20</f>
        <v>2</v>
      </c>
      <c r="G96" s="69">
        <f>'HW Daten'!I20</f>
        <v>5</v>
      </c>
      <c r="J96" s="69">
        <f>'HW Daten'!L20</f>
        <v>50</v>
      </c>
      <c r="K96" s="69">
        <f>'HW Daten'!M20</f>
        <v>16</v>
      </c>
      <c r="M96" s="69"/>
    </row>
    <row r="97" spans="1:19" x14ac:dyDescent="0.2">
      <c r="A97" s="2">
        <v>4</v>
      </c>
      <c r="B97" s="3" t="str">
        <f>'HW Daten'!D21</f>
        <v>16mm</v>
      </c>
      <c r="D97" s="69">
        <f>'HW Daten'!K21</f>
        <v>300</v>
      </c>
      <c r="E97" s="69">
        <f>'HW Daten'!E21</f>
        <v>16</v>
      </c>
      <c r="F97" s="69">
        <f>'HW Daten'!J21</f>
        <v>2</v>
      </c>
      <c r="G97" s="69">
        <f>'HW Daten'!I21</f>
        <v>5</v>
      </c>
      <c r="J97" s="69">
        <f>'HW Daten'!L21</f>
        <v>70</v>
      </c>
      <c r="K97" s="69">
        <f>'HW Daten'!M21</f>
        <v>11</v>
      </c>
      <c r="M97" s="69"/>
    </row>
    <row r="98" spans="1:19" x14ac:dyDescent="0.2">
      <c r="A98" s="3"/>
      <c r="B98" s="3"/>
      <c r="G98" s="3"/>
      <c r="J98" s="77"/>
      <c r="K98" s="80"/>
    </row>
    <row r="99" spans="1:19" x14ac:dyDescent="0.2">
      <c r="F99" s="3"/>
      <c r="N99" s="14"/>
      <c r="O99" s="3"/>
      <c r="P99" s="3"/>
      <c r="Q99" s="3"/>
      <c r="R99" s="3"/>
      <c r="S99" s="11"/>
    </row>
    <row r="100" spans="1:19" x14ac:dyDescent="0.2">
      <c r="A100" s="9" t="s">
        <v>121</v>
      </c>
      <c r="D100" s="50"/>
      <c r="F100" s="3"/>
      <c r="N100" s="14"/>
      <c r="O100" s="3"/>
      <c r="P100" s="3"/>
      <c r="Q100" s="3"/>
      <c r="R100" s="3"/>
      <c r="S100" s="11"/>
    </row>
    <row r="101" spans="1:19" x14ac:dyDescent="0.2">
      <c r="A101" s="3"/>
      <c r="C101" s="58" t="str">
        <f>G60</f>
        <v>XC (VGA)</v>
      </c>
      <c r="D101" s="58" t="str">
        <f>H60</f>
        <v>XC (1.2 MP)</v>
      </c>
      <c r="E101" s="58" t="str">
        <f>I60</f>
        <v>XC (2.0 MP)</v>
      </c>
      <c r="G101" s="2" t="str">
        <f>A10</f>
        <v>CS / ID / XF-Serie</v>
      </c>
      <c r="N101" s="14"/>
      <c r="O101" s="3"/>
      <c r="P101" s="3"/>
      <c r="Q101" s="3"/>
      <c r="R101" s="3"/>
      <c r="S101" s="11"/>
    </row>
    <row r="102" spans="1:19" x14ac:dyDescent="0.2">
      <c r="A102" s="2" t="s">
        <v>122</v>
      </c>
      <c r="C102" s="19">
        <f>G76</f>
        <v>1</v>
      </c>
      <c r="D102" s="19">
        <f>H76</f>
        <v>2</v>
      </c>
      <c r="E102" s="19">
        <f>I76</f>
        <v>3</v>
      </c>
      <c r="G102" s="3">
        <f>J76</f>
        <v>1</v>
      </c>
      <c r="N102" s="14"/>
      <c r="O102" s="3"/>
      <c r="P102" s="3"/>
      <c r="Q102" s="3"/>
      <c r="R102" s="3"/>
      <c r="S102" s="11"/>
    </row>
    <row r="103" spans="1:19" x14ac:dyDescent="0.2">
      <c r="A103" s="2" t="str">
        <f>B81</f>
        <v>Produktbezeichnung (Pentax…)</v>
      </c>
      <c r="B103" s="97"/>
      <c r="C103" s="108" t="str">
        <f>INDEX($B$82:$B$91,C102)</f>
        <v>FL-HC0416X-VG 4.2 mm</v>
      </c>
      <c r="D103" s="108" t="str">
        <f>INDEX($B$82:$B$91,D102)</f>
        <v>ZVL-FL-HC0614-2M 1.2/6mm</v>
      </c>
      <c r="E103" s="108" t="str">
        <f>INDEX($B$82:$B$91,E102)</f>
        <v>ZVL-FL-CC0814A-2M 1.5/8.0mm</v>
      </c>
      <c r="F103" s="3"/>
      <c r="G103" s="110" t="str">
        <f>INDEX($B$94:$B$97,G102)</f>
        <v>8mm</v>
      </c>
      <c r="N103" s="14"/>
      <c r="O103" s="3"/>
      <c r="P103" s="3"/>
      <c r="Q103" s="3"/>
      <c r="R103" s="3"/>
      <c r="S103" s="11"/>
    </row>
    <row r="104" spans="1:19" x14ac:dyDescent="0.2">
      <c r="A104" s="2" t="s">
        <v>48</v>
      </c>
      <c r="B104" s="97"/>
      <c r="C104" s="109">
        <f>INDEX($C$82:$C$91,C102)</f>
        <v>11037579</v>
      </c>
      <c r="D104" s="109">
        <f>INDEX($C$82:$C$91,D102)</f>
        <v>11008992</v>
      </c>
      <c r="E104" s="109">
        <f>INDEX($C$82:$C$91,E102)</f>
        <v>11150223</v>
      </c>
      <c r="F104" s="3"/>
      <c r="N104" s="14"/>
      <c r="O104" s="3"/>
      <c r="P104" s="3"/>
      <c r="Q104" s="3"/>
      <c r="R104" s="3"/>
      <c r="S104" s="11"/>
    </row>
    <row r="105" spans="1:19" x14ac:dyDescent="0.2">
      <c r="A105" s="2" t="str">
        <f>D81</f>
        <v>dC: Objektivlänge von Objektivvorderseite bis C-Mount Auflage (Zeichnung Pentax)</v>
      </c>
      <c r="B105" s="97"/>
      <c r="C105" s="110">
        <f>INDEX($D$82:$D$91,C102)</f>
        <v>43.5</v>
      </c>
      <c r="D105" s="110">
        <f>INDEX($D$82:$D$91,D102)</f>
        <v>37.5</v>
      </c>
      <c r="E105" s="110">
        <f>INDEX($D$82:$D$91,E102)</f>
        <v>36.700000000000003</v>
      </c>
      <c r="F105" s="3"/>
      <c r="N105" s="14"/>
      <c r="O105" s="3"/>
      <c r="P105" s="3"/>
      <c r="Q105" s="3"/>
      <c r="R105" s="3"/>
      <c r="S105" s="11"/>
    </row>
    <row r="106" spans="1:19" x14ac:dyDescent="0.2">
      <c r="A106" s="2" t="str">
        <f>E81</f>
        <v>f focal length Flyer</v>
      </c>
      <c r="B106" s="97"/>
      <c r="C106" s="110">
        <f>INDEX($E$82:$E$91,C102)</f>
        <v>4.3</v>
      </c>
      <c r="D106" s="110">
        <f>INDEX($E$82:$E$91,D102)</f>
        <v>6</v>
      </c>
      <c r="E106" s="110">
        <f>INDEX($E$82:$E$91,E102)</f>
        <v>8.1999999999999993</v>
      </c>
      <c r="F106" s="3"/>
      <c r="G106" s="111">
        <f>INDEX($E$94:$E$97,G102)</f>
        <v>8</v>
      </c>
      <c r="N106" s="14"/>
      <c r="O106" s="3"/>
      <c r="P106" s="3"/>
      <c r="Q106" s="3"/>
      <c r="R106" s="3"/>
      <c r="S106" s="11"/>
    </row>
    <row r="107" spans="1:19" x14ac:dyDescent="0.2">
      <c r="A107" s="2" t="str">
        <f>F81</f>
        <v>Total length d</v>
      </c>
      <c r="B107" s="97"/>
      <c r="C107" s="110">
        <f>INDEX($F$82:$F$91,C102)</f>
        <v>61</v>
      </c>
      <c r="D107" s="110">
        <f>INDEX($F$82:$F$91,D102)</f>
        <v>55</v>
      </c>
      <c r="E107" s="110">
        <f>INDEX($F$82:$F$91,E102)</f>
        <v>54.2</v>
      </c>
      <c r="F107" s="3"/>
      <c r="N107" s="14"/>
      <c r="O107" s="3"/>
      <c r="P107" s="3"/>
      <c r="Q107" s="3"/>
      <c r="R107" s="3"/>
      <c r="S107" s="11"/>
    </row>
    <row r="108" spans="1:19" x14ac:dyDescent="0.2">
      <c r="A108" s="2" t="s">
        <v>28</v>
      </c>
      <c r="B108" s="97"/>
      <c r="C108" s="111">
        <f>INDEX($G$82:$G$91,C102)</f>
        <v>37.900000000000006</v>
      </c>
      <c r="D108" s="111">
        <f>INDEX($G$82:$G$91,D102)</f>
        <v>29.200000000000003</v>
      </c>
      <c r="E108" s="111">
        <f>INDEX($G$82:$G$91,E102)</f>
        <v>22.1</v>
      </c>
      <c r="F108" s="3"/>
      <c r="N108" s="14"/>
      <c r="O108" s="3"/>
      <c r="P108" s="3"/>
      <c r="Q108" s="3"/>
      <c r="R108" s="3"/>
      <c r="S108" s="11"/>
    </row>
    <row r="109" spans="1:19" x14ac:dyDescent="0.2">
      <c r="A109" s="2" t="s">
        <v>70</v>
      </c>
      <c r="B109" s="97"/>
      <c r="C109" s="111">
        <f>INDEX($H$82:$H$91,C102)</f>
        <v>42.2</v>
      </c>
      <c r="D109" s="111">
        <f>INDEX($H$82:$H$91,D102)</f>
        <v>35.200000000000003</v>
      </c>
      <c r="E109" s="111">
        <f>INDEX($H$82:$H$91,E102)</f>
        <v>30.3</v>
      </c>
      <c r="F109" s="3"/>
      <c r="N109" s="14"/>
      <c r="O109" s="3"/>
      <c r="P109" s="3"/>
      <c r="Q109" s="3"/>
      <c r="R109" s="3"/>
      <c r="S109" s="11"/>
    </row>
    <row r="110" spans="1:19" x14ac:dyDescent="0.2">
      <c r="A110" s="2" t="s">
        <v>69</v>
      </c>
      <c r="B110" s="97"/>
      <c r="C110" s="111">
        <f>INDEX($I$82:$I$91,C102)</f>
        <v>4.3</v>
      </c>
      <c r="D110" s="111">
        <f>INDEX($I$82:$I$91,D102)</f>
        <v>6</v>
      </c>
      <c r="E110" s="111">
        <f>INDEX($I$82:$I$91,E102)</f>
        <v>8.1999999999999993</v>
      </c>
      <c r="F110" s="3"/>
      <c r="N110" s="14"/>
      <c r="O110" s="3"/>
      <c r="P110" s="3"/>
      <c r="Q110" s="3"/>
      <c r="R110" s="3"/>
      <c r="S110" s="11"/>
    </row>
    <row r="111" spans="1:19" x14ac:dyDescent="0.2">
      <c r="A111" s="2" t="s">
        <v>163</v>
      </c>
      <c r="B111" s="97"/>
      <c r="C111" s="111"/>
      <c r="D111" s="111"/>
      <c r="E111" s="111"/>
      <c r="F111" s="3"/>
      <c r="G111" s="111">
        <f>INDEX($D$94:$D$97,G102)</f>
        <v>2000</v>
      </c>
      <c r="N111" s="14"/>
      <c r="O111" s="3"/>
      <c r="P111" s="3"/>
      <c r="Q111" s="3"/>
      <c r="R111" s="3"/>
      <c r="S111" s="11"/>
    </row>
    <row r="112" spans="1:19" x14ac:dyDescent="0.2">
      <c r="A112" s="2" t="s">
        <v>56</v>
      </c>
      <c r="B112" s="97"/>
      <c r="C112" s="111">
        <f>INDEX($J$82:$J$91,C102)</f>
        <v>200</v>
      </c>
      <c r="D112" s="111">
        <f>INDEX($J$82:$J$91,D102)</f>
        <v>100</v>
      </c>
      <c r="E112" s="111">
        <f>INDEX($J$82:$J$91,E102)</f>
        <v>100</v>
      </c>
      <c r="F112" s="3"/>
      <c r="G112" s="111">
        <f>INDEX($J$94:$J$97,G102)</f>
        <v>50</v>
      </c>
      <c r="N112" s="14"/>
      <c r="O112" s="3"/>
      <c r="P112" s="3"/>
      <c r="Q112" s="3"/>
      <c r="R112" s="3"/>
      <c r="S112" s="11"/>
    </row>
    <row r="113" spans="1:19" x14ac:dyDescent="0.2">
      <c r="A113" s="2" t="s">
        <v>73</v>
      </c>
      <c r="B113" s="97"/>
      <c r="C113" s="111">
        <f>INDEX($K$82:$K$91,C102)</f>
        <v>18.799999999999997</v>
      </c>
      <c r="D113" s="111">
        <f>INDEX($K$82:$K$91,D102)</f>
        <v>19.799999999999997</v>
      </c>
      <c r="E113" s="111">
        <f>INDEX($K$82:$K$91,E102)</f>
        <v>23.9</v>
      </c>
      <c r="F113" s="3"/>
      <c r="N113" s="14"/>
      <c r="O113" s="3"/>
      <c r="P113" s="3"/>
      <c r="Q113" s="3"/>
      <c r="R113" s="3"/>
      <c r="S113" s="11"/>
    </row>
    <row r="114" spans="1:19" x14ac:dyDescent="0.2">
      <c r="A114" s="2" t="s">
        <v>82</v>
      </c>
      <c r="B114" s="97"/>
      <c r="C114" s="108" t="str">
        <f>INDEX($L$82:$L$91,C102)</f>
        <v>4.2 mm</v>
      </c>
      <c r="D114" s="108" t="str">
        <f>INDEX($L$82:$L$91,D102)</f>
        <v>6,0 mm</v>
      </c>
      <c r="E114" s="108" t="str">
        <f>INDEX($L$82:$L$91,E102)</f>
        <v>8,0 mm</v>
      </c>
      <c r="Q114" s="3"/>
      <c r="R114" s="3"/>
      <c r="S114" s="11"/>
    </row>
    <row r="115" spans="1:19" x14ac:dyDescent="0.2">
      <c r="A115" s="2" t="str">
        <f>F93</f>
        <v>MOD Toleranz</v>
      </c>
      <c r="B115" s="97"/>
      <c r="C115" s="108"/>
      <c r="D115" s="108"/>
      <c r="E115" s="108"/>
      <c r="G115" s="110">
        <f>INDEX($F$94:$F$97,G102)</f>
        <v>2</v>
      </c>
      <c r="Q115" s="3"/>
      <c r="R115" s="3"/>
      <c r="S115" s="11"/>
    </row>
    <row r="116" spans="1:19" x14ac:dyDescent="0.2">
      <c r="A116" s="2" t="str">
        <f>G93</f>
        <v>MAD Toleranz</v>
      </c>
      <c r="B116" s="97"/>
      <c r="C116" s="108"/>
      <c r="D116" s="108"/>
      <c r="E116" s="108"/>
      <c r="G116" s="110">
        <f>INDEX($G$94:$G$97,G102)</f>
        <v>5</v>
      </c>
      <c r="Q116" s="3"/>
      <c r="R116" s="3"/>
      <c r="S116" s="11"/>
    </row>
    <row r="117" spans="1:19" x14ac:dyDescent="0.2">
      <c r="A117" s="2" t="str">
        <f>K93</f>
        <v>GvH1</v>
      </c>
      <c r="G117" s="111">
        <f>INDEX($K$94:$K$97,G102)</f>
        <v>20.85</v>
      </c>
      <c r="Q117" s="3"/>
      <c r="R117" s="3"/>
      <c r="S117" s="11"/>
    </row>
    <row r="118" spans="1:19" x14ac:dyDescent="0.2">
      <c r="Q118" s="3"/>
      <c r="R118" s="3"/>
      <c r="S118" s="11"/>
    </row>
    <row r="119" spans="1:19" s="3" customFormat="1" x14ac:dyDescent="0.2">
      <c r="B119" s="52"/>
      <c r="C119" s="52"/>
      <c r="D119" s="52"/>
      <c r="F119" s="14"/>
      <c r="J119" s="66"/>
      <c r="K119" s="66"/>
      <c r="L119" s="66"/>
    </row>
    <row r="120" spans="1:19" s="3" customFormat="1" ht="15.75" x14ac:dyDescent="0.25">
      <c r="A120" s="357" t="s">
        <v>79</v>
      </c>
      <c r="B120" s="359"/>
      <c r="C120" s="359"/>
      <c r="D120" s="52"/>
      <c r="F120" s="14"/>
      <c r="J120" s="66"/>
      <c r="K120" s="66"/>
      <c r="L120" s="66"/>
    </row>
    <row r="121" spans="1:19" s="3" customFormat="1" x14ac:dyDescent="0.2">
      <c r="B121" s="52"/>
      <c r="C121" s="52"/>
      <c r="D121" s="52"/>
      <c r="N121" s="26" t="s">
        <v>298</v>
      </c>
      <c r="O121" s="66"/>
    </row>
    <row r="122" spans="1:19" s="2" customFormat="1" x14ac:dyDescent="0.2">
      <c r="B122" s="57" t="s">
        <v>43</v>
      </c>
      <c r="C122" s="2" t="str">
        <f>A106</f>
        <v>f focal length Flyer</v>
      </c>
      <c r="D122" s="117" t="s">
        <v>124</v>
      </c>
      <c r="E122" s="57" t="s">
        <v>133</v>
      </c>
      <c r="F122" s="2" t="s">
        <v>78</v>
      </c>
      <c r="G122" s="2" t="s">
        <v>77</v>
      </c>
      <c r="H122" s="2" t="s">
        <v>134</v>
      </c>
      <c r="I122" s="2" t="s">
        <v>159</v>
      </c>
      <c r="J122" s="2" t="s">
        <v>163</v>
      </c>
      <c r="K122" s="2" t="s">
        <v>56</v>
      </c>
      <c r="L122" s="2" t="s">
        <v>236</v>
      </c>
      <c r="M122" s="2" t="s">
        <v>237</v>
      </c>
      <c r="N122" s="2" t="s">
        <v>161</v>
      </c>
      <c r="O122" s="2" t="s">
        <v>158</v>
      </c>
    </row>
    <row r="123" spans="1:19" s="3" customFormat="1" x14ac:dyDescent="0.2">
      <c r="A123" s="2" t="str">
        <f>A43</f>
        <v>XC (VGA)</v>
      </c>
      <c r="B123" s="112" t="str">
        <f>C114</f>
        <v>4.2 mm</v>
      </c>
      <c r="C123" s="115">
        <f>C106</f>
        <v>4.3</v>
      </c>
      <c r="D123" s="116">
        <f>D43</f>
        <v>1.7920000000000002E-2</v>
      </c>
      <c r="E123" s="114">
        <f>(C123/D123)+C123</f>
        <v>244.25535714285712</v>
      </c>
      <c r="F123" s="113">
        <f t="shared" ref="F123:G126" si="21">B43</f>
        <v>200</v>
      </c>
      <c r="G123" s="75">
        <f t="shared" si="21"/>
        <v>3.5840000000000001</v>
      </c>
      <c r="H123" s="111">
        <f>G123*E123/F123</f>
        <v>4.3770559999999996</v>
      </c>
      <c r="N123" s="111"/>
    </row>
    <row r="124" spans="1:19" s="3" customFormat="1" x14ac:dyDescent="0.2">
      <c r="A124" s="2" t="str">
        <f>A44</f>
        <v>XC (1.2 MP)</v>
      </c>
      <c r="B124" s="112" t="str">
        <f>D114</f>
        <v>6,0 mm</v>
      </c>
      <c r="C124" s="115">
        <f>D106</f>
        <v>6</v>
      </c>
      <c r="D124" s="116">
        <f>D44</f>
        <v>2.4E-2</v>
      </c>
      <c r="E124" s="114">
        <f t="shared" ref="E124:E126" si="22">(C124/D124)+C124</f>
        <v>256</v>
      </c>
      <c r="F124" s="113">
        <f t="shared" si="21"/>
        <v>200</v>
      </c>
      <c r="G124" s="75">
        <f t="shared" si="21"/>
        <v>4.8</v>
      </c>
      <c r="H124" s="111">
        <f>G124*E124/F124</f>
        <v>6.1440000000000001</v>
      </c>
      <c r="N124" s="111"/>
    </row>
    <row r="125" spans="1:19" s="3" customFormat="1" x14ac:dyDescent="0.2">
      <c r="A125" s="2" t="str">
        <f>A45</f>
        <v>XC (2.0 MP)</v>
      </c>
      <c r="B125" s="112" t="str">
        <f>E114</f>
        <v>8,0 mm</v>
      </c>
      <c r="C125" s="115">
        <f>E106</f>
        <v>8.1999999999999993</v>
      </c>
      <c r="D125" s="116">
        <f>D45</f>
        <v>3.5200000000000002E-2</v>
      </c>
      <c r="E125" s="114">
        <f t="shared" si="22"/>
        <v>241.1545454545454</v>
      </c>
      <c r="F125" s="113">
        <f t="shared" si="21"/>
        <v>200</v>
      </c>
      <c r="G125" s="75">
        <f t="shared" si="21"/>
        <v>7.04</v>
      </c>
      <c r="H125" s="111">
        <f>G125*E125/F125</f>
        <v>8.4886399999999984</v>
      </c>
      <c r="N125" s="111"/>
    </row>
    <row r="126" spans="1:19" s="3" customFormat="1" x14ac:dyDescent="0.2">
      <c r="A126" s="2" t="str">
        <f>A46</f>
        <v>CS / ID / XF-Serie</v>
      </c>
      <c r="B126" s="66" t="str">
        <f>G103</f>
        <v>8mm</v>
      </c>
      <c r="C126" s="115">
        <f>G106</f>
        <v>8</v>
      </c>
      <c r="D126" s="116">
        <f>D46</f>
        <v>1.9199999999999998E-2</v>
      </c>
      <c r="E126" s="114">
        <f t="shared" si="22"/>
        <v>424.66666666666669</v>
      </c>
      <c r="F126" s="113">
        <f t="shared" si="21"/>
        <v>150</v>
      </c>
      <c r="G126" s="75">
        <f t="shared" si="21"/>
        <v>2.88</v>
      </c>
      <c r="H126" s="111">
        <f>G126*E126/F126</f>
        <v>8.1535999999999991</v>
      </c>
      <c r="I126" s="66">
        <f>G106</f>
        <v>8</v>
      </c>
      <c r="J126" s="66">
        <f>G111</f>
        <v>2000</v>
      </c>
      <c r="K126" s="111">
        <f>G112</f>
        <v>50</v>
      </c>
      <c r="L126" s="111">
        <f>G115</f>
        <v>2</v>
      </c>
      <c r="M126" s="66">
        <f>G116</f>
        <v>5</v>
      </c>
      <c r="N126" s="111">
        <f>E126-G117</f>
        <v>403.81666666666666</v>
      </c>
      <c r="O126" s="75">
        <f>N126+'HW Daten'!B34</f>
        <v>441.81666666666666</v>
      </c>
    </row>
    <row r="127" spans="1:19" s="3" customFormat="1" x14ac:dyDescent="0.2">
      <c r="A127" s="2"/>
      <c r="B127" s="52"/>
      <c r="C127" s="52"/>
      <c r="D127" s="52"/>
      <c r="F127" s="14"/>
      <c r="K127" s="3" t="s">
        <v>160</v>
      </c>
      <c r="N127" s="3">
        <f>IF(((N126+L126)&lt;K126),0,1)</f>
        <v>1</v>
      </c>
    </row>
    <row r="128" spans="1:19" s="3" customFormat="1" x14ac:dyDescent="0.2">
      <c r="B128" s="52"/>
      <c r="C128" s="52"/>
      <c r="D128" s="52"/>
      <c r="F128" s="14"/>
      <c r="K128" s="3" t="s">
        <v>164</v>
      </c>
      <c r="N128" s="3">
        <f>IF(N126&gt;(J126+M126),0,1)</f>
        <v>1</v>
      </c>
    </row>
    <row r="129" spans="1:15" s="3" customFormat="1" x14ac:dyDescent="0.2">
      <c r="B129" s="52"/>
      <c r="C129" s="52"/>
      <c r="D129" s="52"/>
      <c r="F129" s="14"/>
      <c r="N129" s="3">
        <f>N127*N128</f>
        <v>1</v>
      </c>
      <c r="O129" s="66"/>
    </row>
    <row r="130" spans="1:15" s="3" customFormat="1" ht="15.75" x14ac:dyDescent="0.25">
      <c r="A130" s="357" t="s">
        <v>135</v>
      </c>
      <c r="B130" s="359"/>
      <c r="C130" s="359"/>
      <c r="D130" s="52"/>
      <c r="F130" s="14"/>
      <c r="K130" s="66"/>
      <c r="N130" s="66">
        <f>IF(N129=1,N126,"out of considered range")</f>
        <v>403.81666666666666</v>
      </c>
      <c r="O130" s="66">
        <f>IF(N129=1,O126,"out of considered range")</f>
        <v>441.81666666666666</v>
      </c>
    </row>
    <row r="131" spans="1:15" s="3" customFormat="1" x14ac:dyDescent="0.2">
      <c r="B131" s="52"/>
      <c r="C131" s="52"/>
      <c r="D131" s="52"/>
      <c r="F131" s="14"/>
      <c r="J131" s="66"/>
      <c r="K131" s="66"/>
      <c r="L131" s="66"/>
    </row>
    <row r="132" spans="1:15" s="3" customFormat="1" x14ac:dyDescent="0.2">
      <c r="A132" s="47" t="s">
        <v>136</v>
      </c>
      <c r="B132" s="2" t="str">
        <f>G122</f>
        <v>B</v>
      </c>
      <c r="C132" s="2" t="str">
        <f>C122</f>
        <v>f focal length Flyer</v>
      </c>
      <c r="D132" s="117" t="str">
        <f>D122</f>
        <v>M</v>
      </c>
      <c r="E132" s="58" t="s">
        <v>137</v>
      </c>
      <c r="F132" s="2" t="s">
        <v>138</v>
      </c>
      <c r="G132" s="47" t="s">
        <v>139</v>
      </c>
      <c r="J132" s="66"/>
      <c r="K132" s="66"/>
      <c r="L132" s="66"/>
    </row>
    <row r="133" spans="1:15" s="3" customFormat="1" x14ac:dyDescent="0.2">
      <c r="A133" s="113">
        <f>C112</f>
        <v>200</v>
      </c>
      <c r="B133" s="75">
        <f t="shared" ref="B133:B135" si="23">G123</f>
        <v>3.5840000000000001</v>
      </c>
      <c r="C133" s="115">
        <f t="shared" ref="C133:D135" si="24">C123</f>
        <v>4.3</v>
      </c>
      <c r="D133" s="116">
        <f t="shared" si="24"/>
        <v>1.7920000000000002E-2</v>
      </c>
      <c r="E133" s="115">
        <f>B133*((A133/C133)-1)</f>
        <v>163.11367441860466</v>
      </c>
      <c r="F133" s="118">
        <f>B133/E133</f>
        <v>2.1972406745017884E-2</v>
      </c>
      <c r="G133" s="115">
        <f>C133*(D133-F133)</f>
        <v>-1.7425349003576892E-2</v>
      </c>
      <c r="J133" s="66"/>
      <c r="K133" s="66"/>
      <c r="L133" s="66"/>
      <c r="M133" s="207"/>
    </row>
    <row r="134" spans="1:15" s="3" customFormat="1" x14ac:dyDescent="0.2">
      <c r="A134" s="113">
        <f>D112</f>
        <v>100</v>
      </c>
      <c r="B134" s="75">
        <f t="shared" si="23"/>
        <v>4.8</v>
      </c>
      <c r="C134" s="115">
        <f t="shared" si="24"/>
        <v>6</v>
      </c>
      <c r="D134" s="116">
        <f t="shared" si="24"/>
        <v>2.4E-2</v>
      </c>
      <c r="E134" s="115">
        <f t="shared" ref="E134:E135" si="25">B134*((A134/C134)-1)</f>
        <v>75.2</v>
      </c>
      <c r="F134" s="118">
        <f>B134/E134</f>
        <v>6.3829787234042548E-2</v>
      </c>
      <c r="G134" s="115">
        <f t="shared" ref="G134:G135" si="26">C134*(D134-F134)</f>
        <v>-0.2389787234042553</v>
      </c>
      <c r="J134" s="66"/>
      <c r="K134" s="66"/>
      <c r="L134" s="66"/>
    </row>
    <row r="135" spans="1:15" s="3" customFormat="1" x14ac:dyDescent="0.2">
      <c r="A135" s="113">
        <f>E112</f>
        <v>100</v>
      </c>
      <c r="B135" s="75">
        <f t="shared" si="23"/>
        <v>7.04</v>
      </c>
      <c r="C135" s="115">
        <f t="shared" si="24"/>
        <v>8.1999999999999993</v>
      </c>
      <c r="D135" s="116">
        <f t="shared" si="24"/>
        <v>3.5200000000000002E-2</v>
      </c>
      <c r="E135" s="115">
        <f t="shared" si="25"/>
        <v>78.813658536585365</v>
      </c>
      <c r="F135" s="118">
        <f>B135/E135</f>
        <v>8.9324618736383449E-2</v>
      </c>
      <c r="G135" s="115">
        <f t="shared" si="26"/>
        <v>-0.44382187363834424</v>
      </c>
      <c r="J135" s="66"/>
      <c r="K135" s="66"/>
      <c r="L135" s="66"/>
    </row>
    <row r="136" spans="1:15" s="3" customFormat="1" x14ac:dyDescent="0.2">
      <c r="B136" s="52"/>
      <c r="C136" s="52"/>
      <c r="D136" s="52"/>
      <c r="F136" s="14"/>
      <c r="J136" s="66"/>
      <c r="K136" s="66"/>
      <c r="L136" s="66"/>
    </row>
    <row r="137" spans="1:15" s="3" customFormat="1" x14ac:dyDescent="0.2">
      <c r="B137" s="52"/>
      <c r="C137" s="52"/>
      <c r="D137" s="52"/>
      <c r="F137" s="14"/>
      <c r="G137" s="3" t="s">
        <v>287</v>
      </c>
      <c r="J137" s="66"/>
      <c r="K137" s="66"/>
      <c r="L137" s="66"/>
    </row>
    <row r="138" spans="1:15" s="3" customFormat="1" x14ac:dyDescent="0.2">
      <c r="B138" s="52"/>
      <c r="C138" s="52"/>
      <c r="D138" s="52"/>
      <c r="G138" s="14"/>
    </row>
    <row r="139" spans="1:15" ht="15.75" x14ac:dyDescent="0.25">
      <c r="A139" s="357" t="s">
        <v>55</v>
      </c>
      <c r="B139" s="359"/>
      <c r="C139" s="359"/>
      <c r="G139" s="14"/>
    </row>
    <row r="140" spans="1:15" x14ac:dyDescent="0.2">
      <c r="A140" s="3"/>
      <c r="B140" s="3"/>
      <c r="F140" s="14"/>
      <c r="J140" s="11"/>
      <c r="K140" s="11"/>
      <c r="L140" s="11"/>
    </row>
    <row r="141" spans="1:15" s="2" customFormat="1" x14ac:dyDescent="0.2">
      <c r="A141" s="2" t="s">
        <v>74</v>
      </c>
      <c r="B141" s="2" t="s">
        <v>49</v>
      </c>
      <c r="F141" s="47"/>
      <c r="J141" s="48"/>
      <c r="K141" s="48"/>
      <c r="L141" s="48"/>
    </row>
    <row r="142" spans="1:15" s="2" customFormat="1" x14ac:dyDescent="0.2">
      <c r="A142" s="3">
        <v>-100</v>
      </c>
      <c r="B142" s="3">
        <v>0</v>
      </c>
      <c r="F142" s="47"/>
      <c r="J142" s="48"/>
      <c r="K142" s="48"/>
      <c r="L142" s="48"/>
    </row>
    <row r="143" spans="1:15" s="3" customFormat="1" x14ac:dyDescent="0.2">
      <c r="A143" s="3">
        <v>0</v>
      </c>
      <c r="B143" s="3">
        <v>0.5</v>
      </c>
      <c r="F143" s="14"/>
      <c r="J143" s="66"/>
      <c r="K143" s="66"/>
      <c r="L143" s="66"/>
    </row>
    <row r="144" spans="1:15" x14ac:dyDescent="0.2">
      <c r="A144">
        <v>0.6</v>
      </c>
      <c r="B144">
        <v>1</v>
      </c>
      <c r="F144" s="14"/>
      <c r="J144" s="11"/>
      <c r="K144" s="11"/>
      <c r="L144" s="11"/>
    </row>
    <row r="145" spans="1:12" x14ac:dyDescent="0.2">
      <c r="A145">
        <v>1.1000000000000001</v>
      </c>
      <c r="B145">
        <v>5</v>
      </c>
      <c r="F145" s="14"/>
      <c r="J145" s="11"/>
      <c r="K145" s="11"/>
      <c r="L145" s="11"/>
    </row>
    <row r="146" spans="1:12" x14ac:dyDescent="0.2">
      <c r="A146">
        <v>5.0999999999999996</v>
      </c>
      <c r="B146">
        <v>10</v>
      </c>
      <c r="F146" s="14"/>
      <c r="J146" s="11"/>
      <c r="K146" s="11"/>
      <c r="L146" s="11"/>
    </row>
    <row r="147" spans="1:12" x14ac:dyDescent="0.2">
      <c r="A147">
        <v>10.1</v>
      </c>
      <c r="B147">
        <v>20</v>
      </c>
      <c r="F147" s="14"/>
      <c r="J147" s="11"/>
      <c r="K147" s="11"/>
      <c r="L147" s="11"/>
    </row>
    <row r="148" spans="1:12" x14ac:dyDescent="0.2">
      <c r="A148" s="3">
        <v>20.100000000000001</v>
      </c>
      <c r="B148">
        <v>40</v>
      </c>
      <c r="D148" s="55"/>
      <c r="F148" s="14"/>
      <c r="J148" s="11"/>
      <c r="K148" s="11"/>
      <c r="L148" s="11"/>
    </row>
    <row r="149" spans="1:12" x14ac:dyDescent="0.2">
      <c r="A149" s="84">
        <v>40</v>
      </c>
      <c r="B149" s="7">
        <v>40</v>
      </c>
      <c r="D149" s="55"/>
      <c r="F149" s="14"/>
      <c r="J149" s="11"/>
      <c r="K149" s="11"/>
      <c r="L149" s="11"/>
    </row>
    <row r="150" spans="1:12" x14ac:dyDescent="0.2">
      <c r="A150" s="7">
        <v>41</v>
      </c>
      <c r="B150" s="54" t="s">
        <v>165</v>
      </c>
      <c r="D150" s="56"/>
      <c r="F150" s="14"/>
      <c r="J150" s="11"/>
      <c r="K150" s="11"/>
      <c r="L150" s="11"/>
    </row>
    <row r="151" spans="1:12" x14ac:dyDescent="0.2">
      <c r="A151" s="7">
        <v>100000</v>
      </c>
      <c r="B151" s="54"/>
      <c r="D151" s="127"/>
      <c r="F151" s="14"/>
      <c r="J151" s="11"/>
      <c r="K151" s="11"/>
      <c r="L151" s="11"/>
    </row>
    <row r="152" spans="1:12" x14ac:dyDescent="0.2">
      <c r="A152" s="3"/>
      <c r="B152" s="127"/>
      <c r="D152" s="127"/>
      <c r="F152" s="14"/>
      <c r="J152" s="11"/>
      <c r="K152" s="11"/>
      <c r="L152" s="11"/>
    </row>
    <row r="153" spans="1:12" x14ac:dyDescent="0.2">
      <c r="A153" s="3"/>
      <c r="B153" s="52" t="s">
        <v>125</v>
      </c>
      <c r="C153" s="57" t="s">
        <v>75</v>
      </c>
      <c r="D153" s="52" t="s">
        <v>76</v>
      </c>
      <c r="E153" s="52" t="s">
        <v>245</v>
      </c>
      <c r="F153" s="14" t="s">
        <v>248</v>
      </c>
      <c r="J153" s="11"/>
      <c r="K153" s="11"/>
      <c r="L153" s="11"/>
    </row>
    <row r="154" spans="1:12" x14ac:dyDescent="0.2">
      <c r="A154" s="3" t="str">
        <f>A7</f>
        <v>XC (VGA)</v>
      </c>
      <c r="B154" s="83">
        <f>G133</f>
        <v>-1.7425349003576892E-2</v>
      </c>
      <c r="C154" s="98">
        <f>VLOOKUP(B154,$A$142:$B$150,2,TRUE)</f>
        <v>0</v>
      </c>
      <c r="D154">
        <f>IF(C154&gt;0,1,0)</f>
        <v>0</v>
      </c>
      <c r="E154" s="12">
        <f t="shared" ref="E154:E155" si="27">IF(D154=0,0,C154)</f>
        <v>0</v>
      </c>
      <c r="F154" s="12" t="str">
        <f>IF(D154=0,"",E154)</f>
        <v/>
      </c>
      <c r="J154" s="11"/>
      <c r="K154" s="11"/>
      <c r="L154" s="11"/>
    </row>
    <row r="155" spans="1:12" x14ac:dyDescent="0.2">
      <c r="A155" s="3" t="str">
        <f>A8</f>
        <v>XC (1.2 MP)</v>
      </c>
      <c r="B155" s="83">
        <f>G134</f>
        <v>-0.2389787234042553</v>
      </c>
      <c r="C155" s="98">
        <f>VLOOKUP(B155,$A$142:$B$150,2,TRUE)</f>
        <v>0</v>
      </c>
      <c r="D155">
        <f t="shared" ref="D155:D156" si="28">IF(C155&gt;0,1,0)</f>
        <v>0</v>
      </c>
      <c r="E155" s="12">
        <f t="shared" si="27"/>
        <v>0</v>
      </c>
      <c r="F155" s="12" t="str">
        <f t="shared" ref="F155:F156" si="29">IF(D155=0,"",E155)</f>
        <v/>
      </c>
      <c r="J155" s="11"/>
      <c r="K155" s="11"/>
      <c r="L155" s="11"/>
    </row>
    <row r="156" spans="1:12" x14ac:dyDescent="0.2">
      <c r="A156" s="3" t="str">
        <f>A9</f>
        <v>XC (2.0 MP)</v>
      </c>
      <c r="B156" s="83">
        <f>G135</f>
        <v>-0.44382187363834424</v>
      </c>
      <c r="C156" s="98">
        <f>VLOOKUP(B156,$A$142:$B$150,2,TRUE)</f>
        <v>0</v>
      </c>
      <c r="D156">
        <f t="shared" si="28"/>
        <v>0</v>
      </c>
      <c r="E156" s="12">
        <f>IF(D156=0,0,C156)</f>
        <v>0</v>
      </c>
      <c r="F156" s="12" t="str">
        <f t="shared" si="29"/>
        <v/>
      </c>
      <c r="J156" s="11"/>
      <c r="K156" s="11"/>
      <c r="L156" s="11"/>
    </row>
    <row r="157" spans="1:12" x14ac:dyDescent="0.2">
      <c r="A157" s="3"/>
      <c r="B157" s="83"/>
      <c r="C157" s="98"/>
      <c r="E157" s="12"/>
      <c r="F157" s="14"/>
      <c r="J157" s="11"/>
      <c r="K157" s="11"/>
      <c r="L157" s="11"/>
    </row>
    <row r="158" spans="1:12" s="3" customFormat="1" x14ac:dyDescent="0.2">
      <c r="B158" s="52"/>
      <c r="C158" s="52"/>
    </row>
    <row r="159" spans="1:12" s="3" customFormat="1" x14ac:dyDescent="0.2">
      <c r="B159" s="52"/>
      <c r="C159" s="52"/>
      <c r="D159" s="52"/>
      <c r="F159" s="14"/>
      <c r="J159" s="66"/>
      <c r="K159" s="66"/>
      <c r="L159" s="66"/>
    </row>
    <row r="160" spans="1:12" s="3" customFormat="1" x14ac:dyDescent="0.2">
      <c r="B160" s="52"/>
      <c r="C160" s="52"/>
      <c r="D160" s="52"/>
      <c r="F160" s="14"/>
      <c r="J160" s="66"/>
      <c r="K160" s="66"/>
      <c r="L160" s="66"/>
    </row>
    <row r="161" spans="1:12" s="3" customFormat="1" ht="15.75" x14ac:dyDescent="0.25">
      <c r="A161" s="357" t="s">
        <v>301</v>
      </c>
      <c r="B161" s="359"/>
      <c r="C161" s="359"/>
      <c r="D161" s="52"/>
      <c r="F161" s="14"/>
      <c r="J161" s="66"/>
      <c r="K161" s="66"/>
      <c r="L161" s="66"/>
    </row>
    <row r="162" spans="1:12" s="3" customFormat="1" x14ac:dyDescent="0.2">
      <c r="B162" s="52"/>
      <c r="C162" s="52"/>
      <c r="D162" s="52"/>
      <c r="F162" s="14"/>
      <c r="J162" s="66"/>
      <c r="K162" s="66"/>
      <c r="L162" s="66"/>
    </row>
    <row r="163" spans="1:12" s="2" customFormat="1" x14ac:dyDescent="0.2">
      <c r="B163" s="2" t="s">
        <v>302</v>
      </c>
      <c r="C163" s="57" t="s">
        <v>22</v>
      </c>
      <c r="D163" s="57" t="s">
        <v>70</v>
      </c>
      <c r="E163" s="2" t="s">
        <v>303</v>
      </c>
      <c r="F163" s="47"/>
      <c r="J163" s="48"/>
      <c r="K163" s="48"/>
      <c r="L163" s="48"/>
    </row>
    <row r="164" spans="1:12" s="3" customFormat="1" x14ac:dyDescent="0.2">
      <c r="A164" s="3" t="str">
        <f>A7</f>
        <v>XC (VGA)</v>
      </c>
      <c r="B164" s="114">
        <f>E123</f>
        <v>244.25535714285712</v>
      </c>
      <c r="C164" s="262">
        <f>C107</f>
        <v>61</v>
      </c>
      <c r="D164" s="114">
        <f>C109</f>
        <v>42.2</v>
      </c>
      <c r="E164" s="114">
        <f>B164-(C164-D164)</f>
        <v>225.45535714285711</v>
      </c>
      <c r="F164" s="14"/>
      <c r="J164" s="66"/>
      <c r="K164" s="66"/>
      <c r="L164" s="66"/>
    </row>
    <row r="165" spans="1:12" s="3" customFormat="1" x14ac:dyDescent="0.2">
      <c r="A165" s="3" t="str">
        <f>A8</f>
        <v>XC (1.2 MP)</v>
      </c>
      <c r="B165" s="114">
        <f>E124</f>
        <v>256</v>
      </c>
      <c r="C165" s="262">
        <f>D107</f>
        <v>55</v>
      </c>
      <c r="D165" s="114">
        <f>D109</f>
        <v>35.200000000000003</v>
      </c>
      <c r="E165" s="114">
        <f t="shared" ref="E165:E166" si="30">B165-(C165-D165)</f>
        <v>236.2</v>
      </c>
      <c r="F165" s="14"/>
      <c r="J165" s="66"/>
      <c r="K165" s="66"/>
      <c r="L165" s="66"/>
    </row>
    <row r="166" spans="1:12" s="3" customFormat="1" x14ac:dyDescent="0.2">
      <c r="A166" s="3" t="str">
        <f>A9</f>
        <v>XC (2.0 MP)</v>
      </c>
      <c r="B166" s="114">
        <f>E125</f>
        <v>241.1545454545454</v>
      </c>
      <c r="C166" s="262">
        <f>E107</f>
        <v>54.2</v>
      </c>
      <c r="D166" s="114">
        <f>E109</f>
        <v>30.3</v>
      </c>
      <c r="E166" s="114">
        <f t="shared" si="30"/>
        <v>217.25454545454539</v>
      </c>
      <c r="F166" s="14"/>
      <c r="J166" s="66"/>
      <c r="K166" s="66"/>
      <c r="L166" s="66"/>
    </row>
    <row r="167" spans="1:12" s="3" customFormat="1" x14ac:dyDescent="0.2">
      <c r="A167" s="3" t="str">
        <f>A10</f>
        <v>CS / ID / XF-Serie</v>
      </c>
      <c r="B167" s="114">
        <f>E126</f>
        <v>424.66666666666669</v>
      </c>
      <c r="C167" s="262"/>
      <c r="D167" s="114"/>
      <c r="E167" s="263"/>
      <c r="F167" s="14"/>
      <c r="J167" s="66"/>
      <c r="K167" s="66"/>
      <c r="L167" s="66"/>
    </row>
    <row r="168" spans="1:12" s="3" customFormat="1" x14ac:dyDescent="0.2">
      <c r="B168" s="114"/>
      <c r="C168" s="52"/>
      <c r="D168" s="52"/>
      <c r="F168" s="14"/>
      <c r="J168" s="66"/>
      <c r="K168" s="66"/>
      <c r="L168" s="66"/>
    </row>
    <row r="169" spans="1:12" x14ac:dyDescent="0.2">
      <c r="A169" s="3"/>
      <c r="B169" s="53"/>
      <c r="C169" s="56"/>
      <c r="D169" s="55"/>
      <c r="E169" s="12"/>
      <c r="F169" s="14"/>
      <c r="J169" s="11"/>
      <c r="K169" s="11"/>
      <c r="L169" s="11"/>
    </row>
    <row r="170" spans="1:12" x14ac:dyDescent="0.2">
      <c r="A170" s="3"/>
      <c r="D170" s="55"/>
      <c r="F170" s="14"/>
      <c r="J170" s="11"/>
      <c r="K170" s="11"/>
      <c r="L170" s="11"/>
    </row>
    <row r="171" spans="1:12" ht="15.75" x14ac:dyDescent="0.25">
      <c r="A171" s="357" t="s">
        <v>146</v>
      </c>
      <c r="B171" s="359"/>
      <c r="C171" s="359"/>
      <c r="D171" s="55"/>
      <c r="F171" s="14"/>
      <c r="J171" s="11"/>
      <c r="K171" s="11"/>
      <c r="L171" s="11"/>
    </row>
    <row r="172" spans="1:12" x14ac:dyDescent="0.2">
      <c r="A172" s="3"/>
      <c r="B172" s="71"/>
      <c r="C172" s="71"/>
      <c r="D172" s="71"/>
      <c r="F172" s="14"/>
      <c r="J172" s="11"/>
      <c r="K172" s="11"/>
      <c r="L172" s="11"/>
    </row>
    <row r="173" spans="1:12" s="2" customFormat="1" x14ac:dyDescent="0.2">
      <c r="B173" s="2" t="s">
        <v>71</v>
      </c>
      <c r="C173" s="2" t="s">
        <v>123</v>
      </c>
      <c r="D173" s="57" t="s">
        <v>246</v>
      </c>
      <c r="E173" s="2" t="s">
        <v>144</v>
      </c>
      <c r="F173" s="57" t="s">
        <v>145</v>
      </c>
    </row>
    <row r="174" spans="1:12" x14ac:dyDescent="0.2">
      <c r="A174" s="3" t="str">
        <f>A7</f>
        <v>XC (VGA)</v>
      </c>
      <c r="B174" s="81">
        <f>C105</f>
        <v>43.5</v>
      </c>
      <c r="C174" s="53">
        <f>E164</f>
        <v>225.45535714285711</v>
      </c>
      <c r="D174" s="22">
        <f>B174+'HW Daten'!$C$25+E154</f>
        <v>50.32</v>
      </c>
      <c r="E174" s="22">
        <f>D174+C174</f>
        <v>275.7753571428571</v>
      </c>
      <c r="F174" s="22">
        <f>E174+'HW Daten'!$B$33</f>
        <v>319.97535714285709</v>
      </c>
    </row>
    <row r="175" spans="1:12" x14ac:dyDescent="0.2">
      <c r="A175" s="3" t="str">
        <f>A8</f>
        <v>XC (1.2 MP)</v>
      </c>
      <c r="B175" s="81">
        <f>D105</f>
        <v>37.5</v>
      </c>
      <c r="C175" s="53">
        <f t="shared" ref="C175:C176" si="31">E165</f>
        <v>236.2</v>
      </c>
      <c r="D175" s="22">
        <f>B175+'HW Daten'!$C$25+E155</f>
        <v>44.32</v>
      </c>
      <c r="E175" s="22">
        <f>D175+C175</f>
        <v>280.52</v>
      </c>
      <c r="F175" s="22">
        <f>E175+'HW Daten'!$B$33</f>
        <v>324.71999999999997</v>
      </c>
    </row>
    <row r="176" spans="1:12" x14ac:dyDescent="0.2">
      <c r="A176" s="3" t="str">
        <f>A9</f>
        <v>XC (2.0 MP)</v>
      </c>
      <c r="B176" s="81">
        <f>E105</f>
        <v>36.700000000000003</v>
      </c>
      <c r="C176" s="53">
        <f t="shared" si="31"/>
        <v>217.25454545454539</v>
      </c>
      <c r="D176" s="22">
        <f>B176+'HW Daten'!$C$25+E156</f>
        <v>43.52</v>
      </c>
      <c r="E176" s="22">
        <f t="shared" ref="E176" si="32">D176+C176</f>
        <v>260.77454545454538</v>
      </c>
      <c r="F176" s="22">
        <f>E176+'HW Daten'!$B$33</f>
        <v>304.97454545454536</v>
      </c>
    </row>
    <row r="177" spans="1:14" s="3" customFormat="1" x14ac:dyDescent="0.2">
      <c r="B177" s="52"/>
      <c r="C177" s="52"/>
      <c r="D177" s="52"/>
      <c r="F177" s="14"/>
      <c r="J177" s="66"/>
      <c r="K177" s="66"/>
      <c r="L177" s="66"/>
    </row>
    <row r="178" spans="1:14" s="3" customFormat="1" x14ac:dyDescent="0.2">
      <c r="B178" s="52"/>
      <c r="C178" s="52"/>
      <c r="D178" s="52"/>
      <c r="F178" s="14"/>
      <c r="J178" s="66"/>
      <c r="K178" s="66"/>
      <c r="L178" s="66"/>
    </row>
    <row r="179" spans="1:14" s="3" customFormat="1" x14ac:dyDescent="0.2">
      <c r="B179" s="52"/>
      <c r="C179" s="52"/>
      <c r="D179" s="52"/>
      <c r="F179" s="14"/>
      <c r="J179" s="66"/>
      <c r="K179" s="66"/>
      <c r="L179" s="66"/>
    </row>
    <row r="180" spans="1:14" s="3" customFormat="1" x14ac:dyDescent="0.2">
      <c r="B180" s="52"/>
      <c r="C180" s="52"/>
      <c r="D180" s="52"/>
      <c r="F180" s="14"/>
      <c r="J180" s="66"/>
      <c r="K180" s="66"/>
      <c r="L180" s="66"/>
    </row>
    <row r="181" spans="1:14" s="3" customFormat="1" x14ac:dyDescent="0.2">
      <c r="B181" s="52"/>
      <c r="C181" s="52"/>
      <c r="D181" s="52"/>
      <c r="F181" s="14"/>
      <c r="J181" s="66"/>
      <c r="K181" s="66"/>
      <c r="L181" s="66"/>
    </row>
    <row r="182" spans="1:14" s="3" customFormat="1" x14ac:dyDescent="0.2">
      <c r="B182" s="52"/>
      <c r="C182" s="52"/>
      <c r="D182" s="52"/>
      <c r="F182" s="14"/>
      <c r="J182" s="66"/>
      <c r="K182" s="66"/>
      <c r="L182" s="66"/>
    </row>
    <row r="183" spans="1:14" s="3" customFormat="1" x14ac:dyDescent="0.2">
      <c r="B183" s="52"/>
      <c r="C183" s="52"/>
      <c r="D183" s="52"/>
      <c r="F183" s="14"/>
      <c r="J183" s="66"/>
      <c r="K183" s="66"/>
      <c r="L183" s="66"/>
    </row>
    <row r="184" spans="1:14" s="3" customFormat="1" x14ac:dyDescent="0.2">
      <c r="B184" s="52"/>
      <c r="C184" s="52"/>
      <c r="D184" s="52"/>
      <c r="F184" s="14"/>
      <c r="J184" s="66"/>
      <c r="K184" s="66"/>
      <c r="L184" s="66"/>
    </row>
    <row r="185" spans="1:14" s="3" customFormat="1" x14ac:dyDescent="0.2">
      <c r="B185" s="52"/>
      <c r="C185" s="52"/>
      <c r="D185" s="52"/>
      <c r="F185" s="14"/>
      <c r="J185" s="66"/>
      <c r="K185" s="66"/>
      <c r="L185" s="66"/>
    </row>
    <row r="186" spans="1:14" s="3" customFormat="1" x14ac:dyDescent="0.2">
      <c r="B186" s="52"/>
      <c r="C186" s="52"/>
      <c r="D186" s="52"/>
      <c r="F186" s="14"/>
      <c r="J186" s="66"/>
      <c r="K186" s="66"/>
      <c r="L186" s="66"/>
    </row>
    <row r="187" spans="1:14" s="3" customFormat="1" x14ac:dyDescent="0.2">
      <c r="B187" s="52"/>
      <c r="C187" s="52"/>
      <c r="D187" s="52"/>
      <c r="E187" s="2" t="s">
        <v>152</v>
      </c>
      <c r="F187" s="14"/>
      <c r="G187" s="2" t="s">
        <v>360</v>
      </c>
      <c r="H187" s="2" t="s">
        <v>359</v>
      </c>
      <c r="J187" s="66"/>
      <c r="K187" s="66"/>
      <c r="L187" s="66"/>
    </row>
    <row r="188" spans="1:14" ht="15.75" x14ac:dyDescent="0.25">
      <c r="A188" s="357" t="s">
        <v>147</v>
      </c>
      <c r="B188" s="359"/>
      <c r="C188" s="359"/>
      <c r="E188" s="100">
        <f>'HW Daten'!$G$25</f>
        <v>36</v>
      </c>
      <c r="F188" s="7"/>
      <c r="G188" s="100">
        <f>'HW Daten'!$G$26</f>
        <v>6</v>
      </c>
      <c r="H188" s="100">
        <f>'HW Daten'!$G$27</f>
        <v>12</v>
      </c>
    </row>
    <row r="190" spans="1:14" s="2" customFormat="1" x14ac:dyDescent="0.2">
      <c r="B190" s="2" t="str">
        <f>A103</f>
        <v>Produktbezeichnung (Pentax…)</v>
      </c>
      <c r="C190" s="2" t="s">
        <v>71</v>
      </c>
      <c r="D190" s="2" t="s">
        <v>247</v>
      </c>
      <c r="E190" s="2" t="s">
        <v>153</v>
      </c>
      <c r="F190" s="2" t="s">
        <v>369</v>
      </c>
      <c r="G190" s="2" t="s">
        <v>363</v>
      </c>
      <c r="H190" s="2" t="s">
        <v>370</v>
      </c>
      <c r="I190" s="2" t="s">
        <v>362</v>
      </c>
      <c r="J190" s="2" t="s">
        <v>364</v>
      </c>
      <c r="K190" s="2" t="s">
        <v>365</v>
      </c>
      <c r="L190" s="2" t="s">
        <v>366</v>
      </c>
      <c r="M190" s="2" t="s">
        <v>361</v>
      </c>
      <c r="N190" s="2" t="s">
        <v>155</v>
      </c>
    </row>
    <row r="191" spans="1:14" x14ac:dyDescent="0.2">
      <c r="A191" t="str">
        <f>A7</f>
        <v>XC (VGA)</v>
      </c>
      <c r="B191" s="4" t="str">
        <f>C103</f>
        <v>FL-HC0416X-VG 4.2 mm</v>
      </c>
      <c r="C191" s="22">
        <f>C105</f>
        <v>43.5</v>
      </c>
      <c r="D191" s="22">
        <f>C191+E154</f>
        <v>43.5</v>
      </c>
      <c r="E191" s="100">
        <f>'HW Daten'!$F$25</f>
        <v>44</v>
      </c>
      <c r="F191" s="23">
        <f>D191-$E$188</f>
        <v>7.5</v>
      </c>
      <c r="G191">
        <f>IF(F191&gt;$G$188,(ROUNDUP(F191/$H$188,0)),0)</f>
        <v>1</v>
      </c>
      <c r="H191">
        <f>($H$188*G191)-F191</f>
        <v>4.5</v>
      </c>
      <c r="I191">
        <f>IF(H191&gt;=$G$188,G191-1,G191)</f>
        <v>1</v>
      </c>
      <c r="J191">
        <f>IF(OR(H191&gt;=$G$188,H191&lt;0),1,0)</f>
        <v>0</v>
      </c>
      <c r="K191">
        <f>IF(I191&gt;0,I191,"")</f>
        <v>1</v>
      </c>
      <c r="L191" t="str">
        <f>IF(J191&gt;0,J191,"")</f>
        <v/>
      </c>
      <c r="M191" s="100">
        <f>E191+(I191*$H$188)+(J191*$G$188)</f>
        <v>56</v>
      </c>
      <c r="N191" s="23">
        <f>E174-M191</f>
        <v>219.7753571428571</v>
      </c>
    </row>
    <row r="192" spans="1:14" x14ac:dyDescent="0.2">
      <c r="A192" t="str">
        <f>A8</f>
        <v>XC (1.2 MP)</v>
      </c>
      <c r="B192" s="4" t="str">
        <f>D103</f>
        <v>ZVL-FL-HC0614-2M 1.2/6mm</v>
      </c>
      <c r="C192" s="22">
        <f>D105</f>
        <v>37.5</v>
      </c>
      <c r="D192" s="22">
        <f>C192+E155</f>
        <v>37.5</v>
      </c>
      <c r="E192" s="100">
        <f>'HW Daten'!$F$25</f>
        <v>44</v>
      </c>
      <c r="F192" s="23">
        <f t="shared" ref="F192:F193" si="33">D192-$E$188</f>
        <v>1.5</v>
      </c>
      <c r="G192">
        <f t="shared" ref="G192:G193" si="34">IF(F192&gt;$G$188,(ROUNDUP(F192/$H$188,0)),0)</f>
        <v>0</v>
      </c>
      <c r="H192">
        <f t="shared" ref="H192:H193" si="35">($H$188*G192)-F192</f>
        <v>-1.5</v>
      </c>
      <c r="I192">
        <f t="shared" ref="I192:I193" si="36">IF(H192&gt;=$G$188,G192-1,G192)</f>
        <v>0</v>
      </c>
      <c r="J192">
        <f t="shared" ref="J192:J193" si="37">IF(OR(H192&gt;=$G$188,H192&lt;0),1,0)</f>
        <v>1</v>
      </c>
      <c r="K192" t="str">
        <f t="shared" ref="K192:K193" si="38">IF(I192&gt;0,I192,"")</f>
        <v/>
      </c>
      <c r="L192">
        <f t="shared" ref="L192:L193" si="39">IF(J192&gt;0,J192,"")</f>
        <v>1</v>
      </c>
      <c r="M192" s="100">
        <f t="shared" ref="M192:M193" si="40">E192+(I192*$H$188)+(J192*$G$188)</f>
        <v>50</v>
      </c>
      <c r="N192" s="23">
        <f t="shared" ref="N192:N193" si="41">E175-M192</f>
        <v>230.51999999999998</v>
      </c>
    </row>
    <row r="193" spans="1:14" x14ac:dyDescent="0.2">
      <c r="A193" t="str">
        <f>A9</f>
        <v>XC (2.0 MP)</v>
      </c>
      <c r="B193" s="4" t="str">
        <f>E103</f>
        <v>ZVL-FL-CC0814A-2M 1.5/8.0mm</v>
      </c>
      <c r="C193" s="22">
        <f>E105</f>
        <v>36.700000000000003</v>
      </c>
      <c r="D193" s="22">
        <f>C193+E156</f>
        <v>36.700000000000003</v>
      </c>
      <c r="E193" s="100">
        <f>'HW Daten'!$F$25</f>
        <v>44</v>
      </c>
      <c r="F193" s="23">
        <f t="shared" si="33"/>
        <v>0.70000000000000284</v>
      </c>
      <c r="G193">
        <f t="shared" si="34"/>
        <v>0</v>
      </c>
      <c r="H193">
        <f t="shared" si="35"/>
        <v>-0.70000000000000284</v>
      </c>
      <c r="I193">
        <f t="shared" si="36"/>
        <v>0</v>
      </c>
      <c r="J193">
        <f t="shared" si="37"/>
        <v>1</v>
      </c>
      <c r="K193" t="str">
        <f t="shared" si="38"/>
        <v/>
      </c>
      <c r="L193">
        <f t="shared" si="39"/>
        <v>1</v>
      </c>
      <c r="M193" s="100">
        <f t="shared" si="40"/>
        <v>50</v>
      </c>
      <c r="N193" s="23">
        <f t="shared" si="41"/>
        <v>210.77454545454538</v>
      </c>
    </row>
    <row r="197" spans="1:14" ht="15.75" x14ac:dyDescent="0.25">
      <c r="A197" s="357" t="s">
        <v>288</v>
      </c>
      <c r="B197" s="359"/>
      <c r="C197" s="359"/>
    </row>
    <row r="198" spans="1:14" x14ac:dyDescent="0.2">
      <c r="D198" s="3" t="s">
        <v>294</v>
      </c>
    </row>
    <row r="199" spans="1:14" s="2" customFormat="1" x14ac:dyDescent="0.2">
      <c r="B199" s="2" t="str">
        <f>C4</f>
        <v>Auflösung X (w)</v>
      </c>
      <c r="C199" s="2" t="str">
        <f>D4</f>
        <v>Auflösung Y (h)</v>
      </c>
      <c r="D199" s="2" t="s">
        <v>289</v>
      </c>
      <c r="E199" s="2" t="s">
        <v>290</v>
      </c>
      <c r="F199" s="2" t="s">
        <v>291</v>
      </c>
      <c r="G199" s="2" t="s">
        <v>292</v>
      </c>
      <c r="H199" s="2" t="s">
        <v>293</v>
      </c>
      <c r="I199" s="2" t="s">
        <v>296</v>
      </c>
      <c r="J199" s="2" t="s">
        <v>295</v>
      </c>
      <c r="K199" s="2" t="s">
        <v>78</v>
      </c>
      <c r="L199" s="2" t="s">
        <v>297</v>
      </c>
    </row>
    <row r="200" spans="1:14" x14ac:dyDescent="0.2">
      <c r="A200" t="str">
        <f>A7</f>
        <v>XC (VGA)</v>
      </c>
      <c r="B200" s="3">
        <f>C7</f>
        <v>640</v>
      </c>
      <c r="C200" s="3">
        <f>D7</f>
        <v>480</v>
      </c>
      <c r="D200">
        <f>$B$29</f>
        <v>1</v>
      </c>
      <c r="E200">
        <f>$D$29</f>
        <v>0</v>
      </c>
      <c r="F200">
        <f>(B200*D200)+(C200*E200)</f>
        <v>640</v>
      </c>
      <c r="G200">
        <f>Lens!$D$11</f>
        <v>200</v>
      </c>
      <c r="H200">
        <f>Lens!$G$18</f>
        <v>150</v>
      </c>
      <c r="I200">
        <f>G200*D200</f>
        <v>200</v>
      </c>
      <c r="J200">
        <f>H200*E200</f>
        <v>0</v>
      </c>
      <c r="K200">
        <f>I200+J200</f>
        <v>200</v>
      </c>
      <c r="L200">
        <f>F200/K200</f>
        <v>3.2</v>
      </c>
    </row>
    <row r="201" spans="1:14" x14ac:dyDescent="0.2">
      <c r="A201" t="str">
        <f>A8</f>
        <v>XC (1.2 MP)</v>
      </c>
      <c r="B201" s="3">
        <f>C8</f>
        <v>1280</v>
      </c>
      <c r="C201" s="3">
        <f>D8</f>
        <v>960</v>
      </c>
      <c r="D201">
        <f t="shared" ref="D201:D202" si="42">$B$29</f>
        <v>1</v>
      </c>
      <c r="E201">
        <f t="shared" ref="E201:E202" si="43">$D$29</f>
        <v>0</v>
      </c>
      <c r="F201">
        <f>(B201*D201)+(C201*E201)</f>
        <v>1280</v>
      </c>
      <c r="G201">
        <f>Lens!$D$11</f>
        <v>200</v>
      </c>
      <c r="H201">
        <f>Lens!$G$18</f>
        <v>150</v>
      </c>
      <c r="I201">
        <f t="shared" ref="I201:I203" si="44">G201*D201</f>
        <v>200</v>
      </c>
      <c r="J201">
        <f t="shared" ref="J201:J203" si="45">H201*E201</f>
        <v>0</v>
      </c>
      <c r="K201">
        <f t="shared" ref="K201:K203" si="46">I201+J201</f>
        <v>200</v>
      </c>
      <c r="L201">
        <f t="shared" ref="L201:L203" si="47">F201/K201</f>
        <v>6.4</v>
      </c>
    </row>
    <row r="202" spans="1:14" x14ac:dyDescent="0.2">
      <c r="A202" t="str">
        <f>A9</f>
        <v>XC (2.0 MP)</v>
      </c>
      <c r="B202" s="3">
        <f t="shared" ref="B202:C202" si="48">C9</f>
        <v>1600</v>
      </c>
      <c r="C202" s="3">
        <f t="shared" si="48"/>
        <v>1200</v>
      </c>
      <c r="D202">
        <f t="shared" si="42"/>
        <v>1</v>
      </c>
      <c r="E202">
        <f t="shared" si="43"/>
        <v>0</v>
      </c>
      <c r="F202">
        <f>(B202*D202)+(C202*E202)</f>
        <v>1600</v>
      </c>
      <c r="G202">
        <f>Lens!$D$11</f>
        <v>200</v>
      </c>
      <c r="H202">
        <f>Lens!$G$18</f>
        <v>150</v>
      </c>
      <c r="I202">
        <f t="shared" si="44"/>
        <v>200</v>
      </c>
      <c r="J202">
        <f t="shared" si="45"/>
        <v>0</v>
      </c>
      <c r="K202">
        <f t="shared" si="46"/>
        <v>200</v>
      </c>
      <c r="L202">
        <f t="shared" si="47"/>
        <v>8</v>
      </c>
    </row>
    <row r="203" spans="1:14" x14ac:dyDescent="0.2">
      <c r="A203" t="str">
        <f>A10</f>
        <v>CS / ID / XF-Serie</v>
      </c>
      <c r="B203" s="3">
        <f t="shared" ref="B203:C203" si="49">C10</f>
        <v>752</v>
      </c>
      <c r="C203" s="3">
        <f t="shared" si="49"/>
        <v>480</v>
      </c>
      <c r="D203">
        <f>C29</f>
        <v>0</v>
      </c>
      <c r="E203">
        <f>E29</f>
        <v>1</v>
      </c>
      <c r="F203">
        <f>(B203*D203)+(C203*E203)</f>
        <v>480</v>
      </c>
      <c r="G203">
        <f>Lens!$D$11</f>
        <v>200</v>
      </c>
      <c r="H203">
        <f>Lens!$G$18</f>
        <v>150</v>
      </c>
      <c r="I203">
        <f t="shared" si="44"/>
        <v>0</v>
      </c>
      <c r="J203">
        <f t="shared" si="45"/>
        <v>150</v>
      </c>
      <c r="K203">
        <f t="shared" si="46"/>
        <v>150</v>
      </c>
      <c r="L203">
        <f t="shared" si="47"/>
        <v>3.2</v>
      </c>
    </row>
    <row r="204" spans="1:14" x14ac:dyDescent="0.2">
      <c r="B204" s="3"/>
    </row>
    <row r="206" spans="1:14" ht="15.75" x14ac:dyDescent="0.25">
      <c r="A206" s="357" t="s">
        <v>310</v>
      </c>
      <c r="B206" s="359"/>
      <c r="C206" s="359"/>
      <c r="D206" s="54"/>
      <c r="E206" s="7"/>
      <c r="F206" s="46"/>
      <c r="G206" s="7"/>
      <c r="J206" s="11"/>
      <c r="K206" s="11"/>
      <c r="L206" s="11"/>
    </row>
    <row r="207" spans="1:14" s="3" customFormat="1" x14ac:dyDescent="0.2">
      <c r="B207" s="52"/>
      <c r="C207" s="52"/>
      <c r="D207" s="52"/>
      <c r="F207" s="14"/>
      <c r="J207" s="66"/>
      <c r="K207" s="66"/>
      <c r="L207" s="66"/>
    </row>
    <row r="208" spans="1:14" s="2" customFormat="1" x14ac:dyDescent="0.2">
      <c r="B208" s="2" t="s">
        <v>124</v>
      </c>
      <c r="C208" s="57" t="str">
        <f>G4</f>
        <v>Sensor w</v>
      </c>
      <c r="D208" s="57" t="str">
        <f>H4</f>
        <v>Sensor h</v>
      </c>
      <c r="E208" s="2" t="s">
        <v>317</v>
      </c>
      <c r="F208" s="2" t="s">
        <v>318</v>
      </c>
      <c r="G208" s="2" t="str">
        <f>C4</f>
        <v>Auflösung X (w)</v>
      </c>
      <c r="H208" s="2" t="str">
        <f>D4</f>
        <v>Auflösung Y (h)</v>
      </c>
      <c r="I208" s="2" t="s">
        <v>316</v>
      </c>
      <c r="J208" s="2" t="s">
        <v>316</v>
      </c>
    </row>
    <row r="209" spans="1:12" s="3" customFormat="1" x14ac:dyDescent="0.2">
      <c r="A209" s="3" t="str">
        <f>A7</f>
        <v>XC (VGA)</v>
      </c>
      <c r="B209" s="277">
        <f>D43</f>
        <v>1.7920000000000002E-2</v>
      </c>
      <c r="C209" s="281">
        <f>G7</f>
        <v>3.5840000000000001</v>
      </c>
      <c r="D209" s="281">
        <f>H7</f>
        <v>2.6880000000000002</v>
      </c>
      <c r="E209" s="22">
        <f>C209/B209</f>
        <v>199.99999999999997</v>
      </c>
      <c r="F209" s="22">
        <f>D209/B209</f>
        <v>150</v>
      </c>
      <c r="G209" s="3">
        <f t="shared" ref="G209:H212" si="50">C7</f>
        <v>640</v>
      </c>
      <c r="H209" s="3">
        <f t="shared" si="50"/>
        <v>480</v>
      </c>
      <c r="I209" s="283">
        <f>G209/E209</f>
        <v>3.2000000000000006</v>
      </c>
      <c r="J209" s="284">
        <f>1/I209</f>
        <v>0.31249999999999994</v>
      </c>
      <c r="K209" s="283"/>
      <c r="L209" s="283"/>
    </row>
    <row r="210" spans="1:12" s="3" customFormat="1" x14ac:dyDescent="0.2">
      <c r="A210" s="3" t="str">
        <f>A8</f>
        <v>XC (1.2 MP)</v>
      </c>
      <c r="B210" s="277">
        <f>D44</f>
        <v>2.4E-2</v>
      </c>
      <c r="C210" s="281">
        <f t="shared" ref="C210:D210" si="51">G8</f>
        <v>4.8</v>
      </c>
      <c r="D210" s="281">
        <f t="shared" si="51"/>
        <v>3.5999999999999996</v>
      </c>
      <c r="E210" s="22">
        <f t="shared" ref="E210:E212" si="52">C210/B210</f>
        <v>200</v>
      </c>
      <c r="F210" s="22">
        <f t="shared" ref="F210:F212" si="53">D210/B210</f>
        <v>149.99999999999997</v>
      </c>
      <c r="G210" s="3">
        <f t="shared" si="50"/>
        <v>1280</v>
      </c>
      <c r="H210" s="3">
        <f t="shared" si="50"/>
        <v>960</v>
      </c>
      <c r="I210" s="283">
        <f>G210/E210</f>
        <v>6.4</v>
      </c>
      <c r="J210" s="284">
        <f t="shared" ref="J210:J212" si="54">1/I210</f>
        <v>0.15625</v>
      </c>
      <c r="K210" s="283"/>
      <c r="L210" s="283"/>
    </row>
    <row r="211" spans="1:12" s="3" customFormat="1" x14ac:dyDescent="0.2">
      <c r="A211" s="3" t="str">
        <f>A9</f>
        <v>XC (2.0 MP)</v>
      </c>
      <c r="B211" s="277">
        <f>D45</f>
        <v>3.5200000000000002E-2</v>
      </c>
      <c r="C211" s="281">
        <f t="shared" ref="C211:D211" si="55">G9</f>
        <v>7.04</v>
      </c>
      <c r="D211" s="281">
        <f t="shared" si="55"/>
        <v>5.28</v>
      </c>
      <c r="E211" s="22">
        <f t="shared" si="52"/>
        <v>200</v>
      </c>
      <c r="F211" s="22">
        <f t="shared" si="53"/>
        <v>150</v>
      </c>
      <c r="G211" s="3">
        <f t="shared" si="50"/>
        <v>1600</v>
      </c>
      <c r="H211" s="3">
        <f t="shared" si="50"/>
        <v>1200</v>
      </c>
      <c r="I211" s="283">
        <f>G211/E211</f>
        <v>8</v>
      </c>
      <c r="J211" s="284">
        <f t="shared" si="54"/>
        <v>0.125</v>
      </c>
      <c r="K211" s="283"/>
      <c r="L211" s="283"/>
    </row>
    <row r="212" spans="1:12" s="3" customFormat="1" x14ac:dyDescent="0.2">
      <c r="A212" s="3" t="str">
        <f>A10</f>
        <v>CS / ID / XF-Serie</v>
      </c>
      <c r="B212" s="277">
        <f>D46</f>
        <v>1.9199999999999998E-2</v>
      </c>
      <c r="C212" s="281">
        <f t="shared" ref="C212:D212" si="56">G10</f>
        <v>4.5120000000000005</v>
      </c>
      <c r="D212" s="281">
        <f t="shared" si="56"/>
        <v>2.88</v>
      </c>
      <c r="E212" s="22">
        <f t="shared" si="52"/>
        <v>235.00000000000006</v>
      </c>
      <c r="F212" s="22">
        <f t="shared" si="53"/>
        <v>150</v>
      </c>
      <c r="G212" s="3">
        <f t="shared" si="50"/>
        <v>752</v>
      </c>
      <c r="H212" s="3">
        <f t="shared" si="50"/>
        <v>480</v>
      </c>
      <c r="I212" s="283">
        <f>G212/E212</f>
        <v>3.1999999999999993</v>
      </c>
      <c r="J212" s="284">
        <f t="shared" si="54"/>
        <v>0.31250000000000006</v>
      </c>
      <c r="K212" s="283"/>
      <c r="L212" s="283"/>
    </row>
    <row r="213" spans="1:12" s="3" customFormat="1" x14ac:dyDescent="0.2">
      <c r="B213" s="277"/>
      <c r="C213" s="281"/>
      <c r="D213" s="281"/>
      <c r="F213" s="14"/>
      <c r="J213" s="66"/>
      <c r="K213" s="66"/>
      <c r="L213" s="66"/>
    </row>
    <row r="214" spans="1:12" s="3" customFormat="1" x14ac:dyDescent="0.2">
      <c r="B214" s="277"/>
      <c r="C214" s="281"/>
      <c r="D214" s="281"/>
      <c r="F214" s="14"/>
      <c r="J214" s="66"/>
      <c r="K214" s="66"/>
      <c r="L214" s="66"/>
    </row>
    <row r="215" spans="1:12" s="3" customFormat="1" x14ac:dyDescent="0.2">
      <c r="B215" s="52"/>
      <c r="C215" s="52"/>
      <c r="D215" s="52"/>
      <c r="F215" s="14"/>
      <c r="J215" s="66"/>
      <c r="K215" s="66"/>
      <c r="L215" s="66"/>
    </row>
    <row r="216" spans="1:12" x14ac:dyDescent="0.2">
      <c r="A216" s="7"/>
      <c r="B216" s="54"/>
      <c r="C216" s="54"/>
      <c r="D216" s="54"/>
      <c r="E216" s="7"/>
      <c r="F216" s="46"/>
      <c r="G216" s="7"/>
      <c r="H216" s="7"/>
      <c r="J216" s="11"/>
      <c r="K216" s="11"/>
      <c r="L216" s="11"/>
    </row>
  </sheetData>
  <mergeCells count="15">
    <mergeCell ref="A206:C206"/>
    <mergeCell ref="A197:C197"/>
    <mergeCell ref="E37:J37"/>
    <mergeCell ref="A80:C80"/>
    <mergeCell ref="A130:C130"/>
    <mergeCell ref="A188:C188"/>
    <mergeCell ref="A139:C139"/>
    <mergeCell ref="A171:C171"/>
    <mergeCell ref="A161:C161"/>
    <mergeCell ref="A2:C2"/>
    <mergeCell ref="A37:C37"/>
    <mergeCell ref="A56:C56"/>
    <mergeCell ref="A120:C120"/>
    <mergeCell ref="A13:C13"/>
    <mergeCell ref="A20:C20"/>
  </mergeCells>
  <pageMargins left="0.7" right="0.7" top="0.78740157499999996" bottom="0.78740157499999996" header="0.3" footer="0.3"/>
  <pageSetup paperSize="9"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2:V43"/>
  <sheetViews>
    <sheetView topLeftCell="B1" workbookViewId="0">
      <selection activeCell="D35" sqref="D35"/>
    </sheetView>
  </sheetViews>
  <sheetFormatPr baseColWidth="10" defaultRowHeight="12.75" x14ac:dyDescent="0.2"/>
  <cols>
    <col min="1" max="1" width="60.85546875" customWidth="1"/>
    <col min="3" max="3" width="16.42578125" bestFit="1" customWidth="1"/>
    <col min="4" max="4" width="28.5703125" bestFit="1" customWidth="1"/>
    <col min="5" max="5" width="17" customWidth="1"/>
    <col min="8" max="9" width="13.5703125" bestFit="1" customWidth="1"/>
    <col min="10" max="10" width="13.85546875" bestFit="1" customWidth="1"/>
    <col min="14" max="14" width="13" bestFit="1" customWidth="1"/>
    <col min="15" max="16" width="14.42578125" bestFit="1" customWidth="1"/>
  </cols>
  <sheetData>
    <row r="2" spans="1:19" x14ac:dyDescent="0.2">
      <c r="A2" s="36" t="s">
        <v>32</v>
      </c>
      <c r="B2" s="3"/>
      <c r="H2" s="7"/>
      <c r="I2" s="7"/>
      <c r="M2" s="11"/>
      <c r="N2" s="11"/>
      <c r="P2" s="7"/>
      <c r="R2" s="11"/>
      <c r="S2" s="11"/>
    </row>
    <row r="3" spans="1:19" x14ac:dyDescent="0.2">
      <c r="A3" s="25"/>
      <c r="B3" s="37"/>
      <c r="C3" s="34"/>
      <c r="D3" s="27"/>
      <c r="E3" s="27"/>
      <c r="F3" s="27"/>
      <c r="G3" s="27"/>
      <c r="H3" s="25"/>
      <c r="I3" s="27"/>
      <c r="J3" s="27"/>
      <c r="K3" s="27"/>
      <c r="L3" s="27"/>
      <c r="M3" s="28"/>
      <c r="N3" s="11"/>
      <c r="P3" s="7"/>
      <c r="Q3" s="13"/>
      <c r="R3" s="11"/>
      <c r="S3" s="11"/>
    </row>
    <row r="4" spans="1:19" s="2" customFormat="1" ht="114.75" x14ac:dyDescent="0.2">
      <c r="A4" s="25" t="s">
        <v>29</v>
      </c>
      <c r="B4" s="35" t="s">
        <v>11</v>
      </c>
      <c r="C4" s="35" t="s">
        <v>37</v>
      </c>
      <c r="D4" s="25" t="s">
        <v>27</v>
      </c>
      <c r="E4" s="29" t="s">
        <v>132</v>
      </c>
      <c r="F4" s="29" t="s">
        <v>51</v>
      </c>
      <c r="G4" s="29" t="s">
        <v>52</v>
      </c>
      <c r="H4" s="30" t="s">
        <v>102</v>
      </c>
      <c r="I4" s="30" t="s">
        <v>103</v>
      </c>
      <c r="J4" s="25" t="s">
        <v>28</v>
      </c>
      <c r="K4" s="29" t="s">
        <v>104</v>
      </c>
      <c r="L4" s="29" t="s">
        <v>162</v>
      </c>
      <c r="M4" s="29" t="s">
        <v>31</v>
      </c>
      <c r="N4" s="2" t="s">
        <v>34</v>
      </c>
      <c r="O4" s="2" t="s">
        <v>35</v>
      </c>
      <c r="P4" s="2" t="s">
        <v>36</v>
      </c>
      <c r="Q4" s="21"/>
    </row>
    <row r="5" spans="1:19" x14ac:dyDescent="0.2">
      <c r="A5" s="26" t="s">
        <v>12</v>
      </c>
      <c r="B5" s="34">
        <v>11037579</v>
      </c>
      <c r="C5" s="12">
        <v>4.2</v>
      </c>
      <c r="D5" s="26" t="s">
        <v>347</v>
      </c>
      <c r="E5" s="31">
        <v>4.3</v>
      </c>
      <c r="F5" s="31">
        <v>59.5</v>
      </c>
      <c r="G5" s="31">
        <v>61</v>
      </c>
      <c r="H5" s="32">
        <v>42.2</v>
      </c>
      <c r="I5" s="32">
        <v>4.3</v>
      </c>
      <c r="J5" s="31">
        <f>H5-I5</f>
        <v>37.900000000000006</v>
      </c>
      <c r="K5" s="31">
        <v>43.5</v>
      </c>
      <c r="L5" s="74"/>
      <c r="M5" s="33">
        <v>200</v>
      </c>
      <c r="N5">
        <v>1</v>
      </c>
      <c r="O5">
        <v>0</v>
      </c>
      <c r="P5" s="7">
        <v>0</v>
      </c>
      <c r="Q5" s="6" t="s">
        <v>335</v>
      </c>
      <c r="S5" s="3" t="s">
        <v>348</v>
      </c>
    </row>
    <row r="6" spans="1:19" x14ac:dyDescent="0.2">
      <c r="A6" s="26" t="s">
        <v>13</v>
      </c>
      <c r="B6" s="34">
        <v>11008992</v>
      </c>
      <c r="C6" s="12">
        <v>6</v>
      </c>
      <c r="D6" s="26" t="s">
        <v>334</v>
      </c>
      <c r="E6" s="31">
        <v>6</v>
      </c>
      <c r="F6" s="31">
        <v>42</v>
      </c>
      <c r="G6" s="31">
        <v>55</v>
      </c>
      <c r="H6" s="32">
        <v>35.200000000000003</v>
      </c>
      <c r="I6" s="32">
        <v>6</v>
      </c>
      <c r="J6" s="31">
        <f t="shared" ref="J6:J14" si="0">H6-I6</f>
        <v>29.200000000000003</v>
      </c>
      <c r="K6" s="31">
        <v>37.5</v>
      </c>
      <c r="L6" s="74"/>
      <c r="M6" s="33">
        <v>100</v>
      </c>
      <c r="N6">
        <v>1</v>
      </c>
      <c r="O6">
        <v>1</v>
      </c>
      <c r="P6" s="7">
        <v>1</v>
      </c>
      <c r="Q6" s="6" t="s">
        <v>335</v>
      </c>
    </row>
    <row r="7" spans="1:19" x14ac:dyDescent="0.2">
      <c r="A7" s="26" t="s">
        <v>14</v>
      </c>
      <c r="B7" s="34">
        <v>11150223</v>
      </c>
      <c r="C7" s="12">
        <v>8</v>
      </c>
      <c r="D7" s="26" t="s">
        <v>346</v>
      </c>
      <c r="E7" s="31">
        <v>8.1999999999999993</v>
      </c>
      <c r="F7" s="31">
        <v>51.5</v>
      </c>
      <c r="G7" s="31">
        <v>54.2</v>
      </c>
      <c r="H7" s="32">
        <v>30.3</v>
      </c>
      <c r="I7" s="32">
        <v>8.1999999999999993</v>
      </c>
      <c r="J7" s="31">
        <f t="shared" si="0"/>
        <v>22.1</v>
      </c>
      <c r="K7" s="31">
        <v>36.700000000000003</v>
      </c>
      <c r="L7" s="74"/>
      <c r="M7" s="33">
        <v>100</v>
      </c>
      <c r="N7">
        <v>1</v>
      </c>
      <c r="O7">
        <v>1</v>
      </c>
      <c r="P7" s="7">
        <v>1</v>
      </c>
      <c r="Q7" s="6" t="s">
        <v>335</v>
      </c>
    </row>
    <row r="8" spans="1:19" x14ac:dyDescent="0.2">
      <c r="A8" s="26" t="s">
        <v>14</v>
      </c>
      <c r="B8" s="34">
        <v>11002877</v>
      </c>
      <c r="C8" s="12">
        <v>8.5</v>
      </c>
      <c r="D8" s="26" t="s">
        <v>331</v>
      </c>
      <c r="E8" s="31">
        <v>8.5399999999999991</v>
      </c>
      <c r="F8" s="31">
        <v>53.6</v>
      </c>
      <c r="G8" s="31">
        <v>57.5</v>
      </c>
      <c r="H8" s="32">
        <v>31.15</v>
      </c>
      <c r="I8" s="32">
        <v>8.5399999999999991</v>
      </c>
      <c r="J8" s="31">
        <f t="shared" si="0"/>
        <v>22.61</v>
      </c>
      <c r="K8" s="31">
        <v>40</v>
      </c>
      <c r="L8" s="74"/>
      <c r="M8" s="33">
        <v>200</v>
      </c>
      <c r="N8">
        <v>1</v>
      </c>
      <c r="O8">
        <v>0</v>
      </c>
      <c r="P8">
        <v>0</v>
      </c>
      <c r="Q8" s="6" t="s">
        <v>335</v>
      </c>
    </row>
    <row r="9" spans="1:19" x14ac:dyDescent="0.2">
      <c r="A9" s="26" t="s">
        <v>15</v>
      </c>
      <c r="B9" s="34">
        <v>11150226</v>
      </c>
      <c r="C9" s="12">
        <v>12</v>
      </c>
      <c r="D9" s="26" t="s">
        <v>339</v>
      </c>
      <c r="E9" s="31">
        <v>12.3</v>
      </c>
      <c r="F9" s="31">
        <v>58.8</v>
      </c>
      <c r="G9" s="31">
        <v>63.2</v>
      </c>
      <c r="H9" s="32">
        <v>32.4</v>
      </c>
      <c r="I9" s="32">
        <v>12.3</v>
      </c>
      <c r="J9" s="31">
        <f t="shared" si="0"/>
        <v>20.099999999999998</v>
      </c>
      <c r="K9" s="31">
        <v>45.7</v>
      </c>
      <c r="L9" s="74"/>
      <c r="M9" s="33">
        <v>100</v>
      </c>
      <c r="N9">
        <v>1</v>
      </c>
      <c r="O9">
        <v>1</v>
      </c>
      <c r="P9" s="7">
        <v>1</v>
      </c>
      <c r="Q9" s="6" t="s">
        <v>335</v>
      </c>
    </row>
    <row r="10" spans="1:19" x14ac:dyDescent="0.2">
      <c r="A10" s="26" t="s">
        <v>16</v>
      </c>
      <c r="B10" s="34">
        <v>11150228</v>
      </c>
      <c r="C10" s="12">
        <v>16</v>
      </c>
      <c r="D10" s="26" t="s">
        <v>336</v>
      </c>
      <c r="E10" s="31">
        <v>16</v>
      </c>
      <c r="F10" s="31">
        <v>43.4</v>
      </c>
      <c r="G10" s="31">
        <v>49.7</v>
      </c>
      <c r="H10" s="32">
        <v>16.2</v>
      </c>
      <c r="I10" s="32">
        <v>16</v>
      </c>
      <c r="J10" s="31">
        <f t="shared" si="0"/>
        <v>0.19999999999999929</v>
      </c>
      <c r="K10" s="31">
        <v>32.200000000000003</v>
      </c>
      <c r="L10" s="74"/>
      <c r="M10" s="33">
        <v>100</v>
      </c>
      <c r="N10">
        <v>1</v>
      </c>
      <c r="O10">
        <v>1</v>
      </c>
      <c r="P10">
        <v>1</v>
      </c>
      <c r="Q10" s="6" t="s">
        <v>335</v>
      </c>
    </row>
    <row r="11" spans="1:19" x14ac:dyDescent="0.2">
      <c r="A11" s="26" t="s">
        <v>17</v>
      </c>
      <c r="B11" s="34">
        <v>11150229</v>
      </c>
      <c r="C11" s="12">
        <v>25</v>
      </c>
      <c r="D11" s="26" t="s">
        <v>337</v>
      </c>
      <c r="E11" s="31">
        <v>25.6</v>
      </c>
      <c r="F11" s="31">
        <v>39.9</v>
      </c>
      <c r="G11" s="31">
        <v>55.5</v>
      </c>
      <c r="H11" s="32">
        <v>12.9</v>
      </c>
      <c r="I11" s="32">
        <v>25.6</v>
      </c>
      <c r="J11" s="31">
        <f t="shared" si="0"/>
        <v>-12.700000000000001</v>
      </c>
      <c r="K11" s="31">
        <v>38</v>
      </c>
      <c r="L11" s="74"/>
      <c r="M11" s="33">
        <v>100</v>
      </c>
      <c r="N11">
        <v>1</v>
      </c>
      <c r="O11">
        <v>1</v>
      </c>
      <c r="P11">
        <v>1</v>
      </c>
      <c r="Q11" s="6" t="s">
        <v>335</v>
      </c>
    </row>
    <row r="12" spans="1:19" x14ac:dyDescent="0.2">
      <c r="A12" s="26" t="s">
        <v>18</v>
      </c>
      <c r="B12" s="37">
        <v>11003417</v>
      </c>
      <c r="C12" s="12">
        <v>35</v>
      </c>
      <c r="D12" s="26" t="s">
        <v>329</v>
      </c>
      <c r="E12" s="31">
        <v>34</v>
      </c>
      <c r="F12" s="31">
        <v>47.1</v>
      </c>
      <c r="G12" s="31">
        <v>52.9</v>
      </c>
      <c r="H12" s="32">
        <v>10.9</v>
      </c>
      <c r="I12" s="32">
        <v>34</v>
      </c>
      <c r="J12" s="31">
        <f t="shared" si="0"/>
        <v>-23.1</v>
      </c>
      <c r="K12" s="31">
        <v>35.4</v>
      </c>
      <c r="L12" s="74"/>
      <c r="M12" s="33">
        <v>400</v>
      </c>
      <c r="N12">
        <v>1</v>
      </c>
      <c r="O12">
        <v>1</v>
      </c>
      <c r="P12">
        <v>1</v>
      </c>
      <c r="Q12" s="6"/>
    </row>
    <row r="13" spans="1:19" x14ac:dyDescent="0.2">
      <c r="A13" s="26" t="s">
        <v>19</v>
      </c>
      <c r="B13" s="37">
        <v>11150230</v>
      </c>
      <c r="C13" s="12">
        <v>50</v>
      </c>
      <c r="D13" s="26" t="s">
        <v>338</v>
      </c>
      <c r="E13" s="31">
        <v>48.8</v>
      </c>
      <c r="F13" s="31">
        <v>51.8</v>
      </c>
      <c r="G13" s="31">
        <v>64</v>
      </c>
      <c r="H13" s="32">
        <v>39.5</v>
      </c>
      <c r="I13" s="32">
        <v>48.8</v>
      </c>
      <c r="J13" s="31">
        <f t="shared" si="0"/>
        <v>-9.2999999999999972</v>
      </c>
      <c r="K13" s="31">
        <v>46.5</v>
      </c>
      <c r="L13" s="74"/>
      <c r="M13" s="33">
        <v>300</v>
      </c>
      <c r="N13">
        <v>1</v>
      </c>
      <c r="O13">
        <v>1</v>
      </c>
      <c r="P13">
        <v>1</v>
      </c>
      <c r="Q13" s="6" t="s">
        <v>335</v>
      </c>
    </row>
    <row r="14" spans="1:19" x14ac:dyDescent="0.2">
      <c r="A14" s="26" t="s">
        <v>20</v>
      </c>
      <c r="B14" s="34">
        <v>11003041</v>
      </c>
      <c r="C14" s="12">
        <v>75</v>
      </c>
      <c r="D14" s="26" t="s">
        <v>330</v>
      </c>
      <c r="E14" s="31">
        <v>72.8</v>
      </c>
      <c r="F14" s="31">
        <v>72.8</v>
      </c>
      <c r="G14" s="31">
        <v>77.099999999999994</v>
      </c>
      <c r="H14" s="32">
        <v>57.4</v>
      </c>
      <c r="I14" s="32">
        <v>72.8</v>
      </c>
      <c r="J14" s="31">
        <f t="shared" si="0"/>
        <v>-15.399999999999999</v>
      </c>
      <c r="K14" s="31">
        <v>70.099999999999994</v>
      </c>
      <c r="L14" s="74"/>
      <c r="M14" s="33">
        <v>700</v>
      </c>
      <c r="N14">
        <v>1</v>
      </c>
      <c r="O14">
        <v>1</v>
      </c>
      <c r="P14">
        <v>1</v>
      </c>
      <c r="Q14" s="6"/>
    </row>
    <row r="15" spans="1:19" s="7" customFormat="1" x14ac:dyDescent="0.2">
      <c r="A15" s="44" t="s">
        <v>42</v>
      </c>
      <c r="E15" s="13"/>
      <c r="F15" s="13"/>
      <c r="G15" s="13"/>
      <c r="M15" s="40"/>
      <c r="N15" s="40"/>
      <c r="Q15" s="45"/>
    </row>
    <row r="16" spans="1:19" s="7" customFormat="1" x14ac:dyDescent="0.2">
      <c r="A16" s="44"/>
      <c r="E16" s="13"/>
      <c r="F16" s="13"/>
      <c r="G16" s="13"/>
      <c r="M16" s="40"/>
      <c r="N16" s="40"/>
      <c r="Q16" s="45"/>
    </row>
    <row r="17" spans="1:22" s="7" customFormat="1" x14ac:dyDescent="0.2">
      <c r="A17" s="44"/>
      <c r="E17" s="13"/>
      <c r="F17" s="13"/>
      <c r="G17" s="13"/>
      <c r="I17" s="205" t="s">
        <v>237</v>
      </c>
      <c r="J17" s="205" t="s">
        <v>236</v>
      </c>
      <c r="K17" s="205" t="s">
        <v>163</v>
      </c>
      <c r="L17" s="206" t="s">
        <v>56</v>
      </c>
      <c r="M17" s="2" t="s">
        <v>234</v>
      </c>
      <c r="N17" s="205"/>
      <c r="O17" s="205"/>
      <c r="P17" s="205"/>
      <c r="Q17" s="45"/>
    </row>
    <row r="18" spans="1:22" s="7" customFormat="1" x14ac:dyDescent="0.2">
      <c r="A18" s="26" t="s">
        <v>341</v>
      </c>
      <c r="D18" s="3" t="s">
        <v>332</v>
      </c>
      <c r="E18" s="3">
        <v>8</v>
      </c>
      <c r="F18" s="13"/>
      <c r="G18" s="13"/>
      <c r="I18" s="13">
        <v>5</v>
      </c>
      <c r="J18" s="13">
        <v>2</v>
      </c>
      <c r="K18" s="332">
        <v>2000</v>
      </c>
      <c r="L18" s="69">
        <v>50</v>
      </c>
      <c r="M18" s="13">
        <v>20.85</v>
      </c>
      <c r="N18" s="204" t="s">
        <v>233</v>
      </c>
      <c r="O18" s="7" t="s">
        <v>249</v>
      </c>
      <c r="Q18" s="45"/>
    </row>
    <row r="19" spans="1:22" s="7" customFormat="1" x14ac:dyDescent="0.2">
      <c r="A19" s="26" t="s">
        <v>342</v>
      </c>
      <c r="D19" s="3" t="s">
        <v>156</v>
      </c>
      <c r="E19" s="3">
        <v>10</v>
      </c>
      <c r="F19" s="13"/>
      <c r="G19" s="13"/>
      <c r="I19" s="13">
        <v>5</v>
      </c>
      <c r="J19" s="13">
        <v>2</v>
      </c>
      <c r="K19" s="69">
        <v>2000</v>
      </c>
      <c r="L19" s="69">
        <v>50</v>
      </c>
      <c r="M19" s="12">
        <v>17.399999999999999</v>
      </c>
      <c r="N19" s="204" t="s">
        <v>233</v>
      </c>
      <c r="O19" s="7" t="s">
        <v>249</v>
      </c>
      <c r="Q19" s="45"/>
    </row>
    <row r="20" spans="1:22" s="7" customFormat="1" x14ac:dyDescent="0.2">
      <c r="A20" s="26" t="s">
        <v>340</v>
      </c>
      <c r="D20" s="3" t="s">
        <v>333</v>
      </c>
      <c r="E20" s="3">
        <v>12</v>
      </c>
      <c r="F20" s="13"/>
      <c r="G20" s="13"/>
      <c r="I20" s="13">
        <v>5</v>
      </c>
      <c r="J20" s="13">
        <v>2</v>
      </c>
      <c r="K20" s="332">
        <v>2000</v>
      </c>
      <c r="L20" s="69">
        <v>50</v>
      </c>
      <c r="M20" s="12">
        <v>16</v>
      </c>
      <c r="N20" s="204" t="s">
        <v>233</v>
      </c>
      <c r="O20" s="7" t="s">
        <v>249</v>
      </c>
      <c r="Q20" s="45"/>
    </row>
    <row r="21" spans="1:22" s="7" customFormat="1" x14ac:dyDescent="0.2">
      <c r="A21" s="26" t="s">
        <v>343</v>
      </c>
      <c r="D21" s="3" t="s">
        <v>21</v>
      </c>
      <c r="E21" s="3">
        <v>16</v>
      </c>
      <c r="F21" s="13"/>
      <c r="G21" s="13"/>
      <c r="I21" s="13">
        <v>5</v>
      </c>
      <c r="J21" s="13">
        <v>2</v>
      </c>
      <c r="K21" s="69">
        <v>300</v>
      </c>
      <c r="L21" s="69">
        <v>70</v>
      </c>
      <c r="M21" s="12">
        <v>11</v>
      </c>
      <c r="N21" s="204" t="s">
        <v>233</v>
      </c>
      <c r="O21" s="7" t="s">
        <v>249</v>
      </c>
      <c r="Q21" s="45"/>
    </row>
    <row r="22" spans="1:22" s="7" customFormat="1" x14ac:dyDescent="0.2">
      <c r="A22" s="26"/>
      <c r="D22" s="3"/>
      <c r="E22" s="3"/>
      <c r="F22" s="13"/>
      <c r="G22" s="13"/>
      <c r="I22" s="13"/>
      <c r="J22" s="13"/>
      <c r="K22" s="69"/>
      <c r="L22" s="69"/>
      <c r="M22" s="12"/>
      <c r="N22" s="204"/>
      <c r="Q22" s="45"/>
    </row>
    <row r="24" spans="1:22" x14ac:dyDescent="0.2">
      <c r="A24" s="2" t="s">
        <v>33</v>
      </c>
      <c r="B24" s="3" t="s">
        <v>66</v>
      </c>
      <c r="C24" s="2" t="s">
        <v>68</v>
      </c>
      <c r="D24" s="2"/>
      <c r="F24" s="2" t="s">
        <v>149</v>
      </c>
      <c r="G24" s="2" t="s">
        <v>150</v>
      </c>
      <c r="K24" s="11"/>
      <c r="L24" s="11"/>
      <c r="Q24" s="11"/>
      <c r="R24" s="11"/>
      <c r="S24" s="11"/>
    </row>
    <row r="25" spans="1:22" x14ac:dyDescent="0.2">
      <c r="A25" s="3" t="s">
        <v>53</v>
      </c>
      <c r="C25" s="12">
        <v>6.82</v>
      </c>
      <c r="D25" s="22"/>
      <c r="E25" s="2" t="s">
        <v>148</v>
      </c>
      <c r="F25" s="12">
        <v>44</v>
      </c>
      <c r="G25" s="12">
        <v>36</v>
      </c>
      <c r="K25" s="11"/>
      <c r="L25" s="11"/>
      <c r="Q25" s="11"/>
      <c r="R25" s="11"/>
      <c r="S25" s="11"/>
    </row>
    <row r="26" spans="1:22" x14ac:dyDescent="0.2">
      <c r="A26" s="3" t="s">
        <v>50</v>
      </c>
      <c r="C26" s="12">
        <v>10.64</v>
      </c>
      <c r="D26" s="22"/>
      <c r="E26" s="2" t="s">
        <v>151</v>
      </c>
      <c r="F26" s="12">
        <v>6</v>
      </c>
      <c r="G26" s="12">
        <v>6</v>
      </c>
      <c r="M26" s="11"/>
      <c r="N26" s="11"/>
      <c r="P26" s="7"/>
      <c r="R26" s="11"/>
      <c r="S26" s="11"/>
      <c r="U26" s="11"/>
      <c r="V26" s="11"/>
    </row>
    <row r="27" spans="1:22" x14ac:dyDescent="0.2">
      <c r="A27" s="3"/>
      <c r="B27" s="13">
        <v>0.3</v>
      </c>
      <c r="C27" s="12">
        <v>0</v>
      </c>
      <c r="D27" s="22"/>
      <c r="E27" s="2" t="s">
        <v>151</v>
      </c>
      <c r="F27" s="12">
        <v>12</v>
      </c>
      <c r="G27" s="12">
        <v>12</v>
      </c>
      <c r="M27" s="11"/>
      <c r="N27" s="11"/>
      <c r="P27" s="7"/>
      <c r="R27" s="11"/>
      <c r="S27" s="11"/>
      <c r="U27" s="11"/>
      <c r="V27" s="11"/>
    </row>
    <row r="28" spans="1:22" x14ac:dyDescent="0.2">
      <c r="A28" s="3"/>
      <c r="B28" s="13">
        <v>0.3</v>
      </c>
      <c r="C28" s="12">
        <v>0</v>
      </c>
      <c r="D28" s="22"/>
      <c r="M28" s="11"/>
      <c r="N28" s="11"/>
      <c r="P28" s="7"/>
      <c r="R28" s="11"/>
      <c r="S28" s="11"/>
      <c r="U28" s="11"/>
      <c r="V28" s="11"/>
    </row>
    <row r="29" spans="1:22" x14ac:dyDescent="0.2">
      <c r="A29" s="3" t="s">
        <v>67</v>
      </c>
      <c r="B29" s="13"/>
      <c r="C29" s="13">
        <v>0.06</v>
      </c>
      <c r="D29" s="22"/>
      <c r="M29" s="11"/>
      <c r="N29" s="11"/>
      <c r="P29" s="7"/>
      <c r="R29" s="11"/>
      <c r="S29" s="11"/>
      <c r="U29" s="11"/>
      <c r="V29" s="11"/>
    </row>
    <row r="30" spans="1:22" x14ac:dyDescent="0.2">
      <c r="A30" s="76" t="s">
        <v>72</v>
      </c>
      <c r="B30" s="77" t="s">
        <v>30</v>
      </c>
      <c r="C30" s="78">
        <f>SUM(C25:C29)</f>
        <v>17.52</v>
      </c>
      <c r="D30" s="78"/>
      <c r="M30" s="11"/>
      <c r="N30" s="11"/>
      <c r="P30" s="7"/>
      <c r="R30" s="11"/>
      <c r="S30" s="11"/>
      <c r="U30" s="11"/>
      <c r="V30" s="11"/>
    </row>
    <row r="31" spans="1:22" x14ac:dyDescent="0.2">
      <c r="A31" s="70"/>
      <c r="B31" s="18"/>
      <c r="C31" s="75"/>
      <c r="D31" s="75"/>
      <c r="M31" s="11"/>
      <c r="N31" s="11"/>
      <c r="P31" s="7"/>
      <c r="R31" s="11"/>
      <c r="S31" s="11"/>
      <c r="U31" s="11"/>
      <c r="V31" s="11"/>
    </row>
    <row r="33" spans="1:2" x14ac:dyDescent="0.2">
      <c r="A33" s="3" t="s">
        <v>142</v>
      </c>
      <c r="B33" s="12">
        <v>44.2</v>
      </c>
    </row>
    <row r="34" spans="1:2" x14ac:dyDescent="0.2">
      <c r="A34" s="3" t="s">
        <v>143</v>
      </c>
      <c r="B34" s="12">
        <v>38</v>
      </c>
    </row>
    <row r="36" spans="1:2" x14ac:dyDescent="0.2">
      <c r="A36" t="s">
        <v>54</v>
      </c>
      <c r="B36" s="12">
        <v>0.5</v>
      </c>
    </row>
    <row r="37" spans="1:2" x14ac:dyDescent="0.2">
      <c r="B37" s="12">
        <v>1</v>
      </c>
    </row>
    <row r="38" spans="1:2" x14ac:dyDescent="0.2">
      <c r="B38" s="12">
        <v>5</v>
      </c>
    </row>
    <row r="39" spans="1:2" x14ac:dyDescent="0.2">
      <c r="B39" s="12">
        <v>10</v>
      </c>
    </row>
    <row r="40" spans="1:2" x14ac:dyDescent="0.2">
      <c r="B40" s="12">
        <v>20</v>
      </c>
    </row>
    <row r="41" spans="1:2" x14ac:dyDescent="0.2">
      <c r="B41" s="12">
        <v>40</v>
      </c>
    </row>
    <row r="42" spans="1:2" x14ac:dyDescent="0.2">
      <c r="B42" s="12"/>
    </row>
    <row r="43" spans="1:2" x14ac:dyDescent="0.2">
      <c r="A43" s="3"/>
      <c r="B43" s="12"/>
    </row>
  </sheetData>
  <pageMargins left="0.7" right="0.7" top="0.78740157499999996" bottom="0.78740157499999996"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2:T41"/>
  <sheetViews>
    <sheetView zoomScale="115" zoomScaleNormal="115" workbookViewId="0">
      <selection activeCell="B24" sqref="B24"/>
    </sheetView>
  </sheetViews>
  <sheetFormatPr baseColWidth="10" defaultRowHeight="12.75" x14ac:dyDescent="0.2"/>
  <cols>
    <col min="1" max="2" width="21" style="144" bestFit="1" customWidth="1"/>
    <col min="3" max="3" width="2" style="144" bestFit="1" customWidth="1"/>
    <col min="4" max="4" width="11.42578125" style="144"/>
    <col min="5" max="5" width="17.28515625" style="144" bestFit="1" customWidth="1"/>
    <col min="6" max="11" width="11.42578125" style="144"/>
    <col min="12" max="12" width="5.140625" style="144" customWidth="1"/>
    <col min="13" max="13" width="17.85546875" style="144" customWidth="1"/>
    <col min="14" max="14" width="11.42578125" style="144"/>
    <col min="15" max="15" width="11.42578125" style="144" customWidth="1"/>
    <col min="16" max="16" width="1.5703125" style="144" bestFit="1" customWidth="1"/>
    <col min="17" max="17" width="2" style="144" customWidth="1"/>
    <col min="18" max="18" width="3.140625" style="144" bestFit="1" customWidth="1"/>
    <col min="19" max="19" width="24.7109375" style="144" bestFit="1" customWidth="1"/>
    <col min="20" max="16384" width="11.42578125" style="144"/>
  </cols>
  <sheetData>
    <row r="2" spans="1:12" x14ac:dyDescent="0.2">
      <c r="A2" s="145"/>
      <c r="B2" s="145" t="s">
        <v>211</v>
      </c>
      <c r="C2" s="145" t="s">
        <v>77</v>
      </c>
      <c r="D2" s="145" t="s">
        <v>213</v>
      </c>
      <c r="E2" s="147" t="s">
        <v>212</v>
      </c>
    </row>
    <row r="3" spans="1:12" x14ac:dyDescent="0.2">
      <c r="A3" s="145" t="s">
        <v>211</v>
      </c>
      <c r="B3" s="145">
        <f>IF(Illumination!$L$3=1,1,0)</f>
        <v>0</v>
      </c>
      <c r="C3" s="145">
        <f>IF(Illumination!L4=1,1,0)</f>
        <v>1</v>
      </c>
      <c r="D3" s="145">
        <f>IF(Illumination!L7=1,1,0)</f>
        <v>1</v>
      </c>
      <c r="E3" s="145">
        <f t="shared" ref="E3:E11" si="0">B3*C3*D3</f>
        <v>0</v>
      </c>
      <c r="F3" s="157" t="s">
        <v>210</v>
      </c>
    </row>
    <row r="4" spans="1:12" x14ac:dyDescent="0.2">
      <c r="A4" s="145" t="s">
        <v>209</v>
      </c>
      <c r="B4" s="145">
        <f>IF(Illumination!$L$3=1,1,0)</f>
        <v>0</v>
      </c>
      <c r="C4" s="145">
        <f>IF(Illumination!L4=1,1,0)</f>
        <v>1</v>
      </c>
      <c r="D4" s="145">
        <f>IF(Illumination!L7=2,1,0)</f>
        <v>0</v>
      </c>
      <c r="E4" s="145">
        <f t="shared" si="0"/>
        <v>0</v>
      </c>
      <c r="F4" s="157" t="s">
        <v>208</v>
      </c>
    </row>
    <row r="5" spans="1:12" x14ac:dyDescent="0.2">
      <c r="A5" s="145" t="s">
        <v>207</v>
      </c>
      <c r="B5" s="145">
        <f>IF(Illumination!$L$3=1,1,0)</f>
        <v>0</v>
      </c>
      <c r="C5" s="145">
        <f>IF(Illumination!L4=2,1,0)</f>
        <v>0</v>
      </c>
      <c r="D5" s="145">
        <v>1</v>
      </c>
      <c r="E5" s="145">
        <f t="shared" si="0"/>
        <v>0</v>
      </c>
      <c r="F5" s="158" t="s">
        <v>206</v>
      </c>
    </row>
    <row r="6" spans="1:12" x14ac:dyDescent="0.2">
      <c r="A6" s="145" t="s">
        <v>205</v>
      </c>
      <c r="B6" s="145">
        <f>IF(Illumination!$L$3=2,1,0)</f>
        <v>0</v>
      </c>
      <c r="C6" s="145">
        <f>IF(Illumination!L5=1,1,0)</f>
        <v>0</v>
      </c>
      <c r="D6" s="145">
        <f>IF(Illumination!L8=1,1,0)</f>
        <v>1</v>
      </c>
      <c r="E6" s="145">
        <f t="shared" si="0"/>
        <v>0</v>
      </c>
      <c r="F6" s="151" t="s">
        <v>204</v>
      </c>
    </row>
    <row r="7" spans="1:12" x14ac:dyDescent="0.2">
      <c r="A7" s="145" t="s">
        <v>203</v>
      </c>
      <c r="B7" s="145">
        <f>IF(Illumination!$L$3=2,1,0)</f>
        <v>0</v>
      </c>
      <c r="C7" s="145">
        <f>IF(Illumination!L5=1,1,0)</f>
        <v>0</v>
      </c>
      <c r="D7" s="145">
        <f>IF(Illumination!L8=2,1,0)</f>
        <v>0</v>
      </c>
      <c r="E7" s="145">
        <f t="shared" si="0"/>
        <v>0</v>
      </c>
      <c r="F7" s="151" t="s">
        <v>202</v>
      </c>
    </row>
    <row r="8" spans="1:12" x14ac:dyDescent="0.2">
      <c r="A8" s="145" t="s">
        <v>201</v>
      </c>
      <c r="B8" s="145">
        <f>IF(Illumination!$L$3=2,1,0)</f>
        <v>0</v>
      </c>
      <c r="C8" s="145">
        <f>IF(Illumination!L5=2,1,0)</f>
        <v>1</v>
      </c>
      <c r="D8" s="145">
        <v>1</v>
      </c>
      <c r="E8" s="145">
        <f t="shared" si="0"/>
        <v>0</v>
      </c>
      <c r="F8" s="158" t="s">
        <v>200</v>
      </c>
    </row>
    <row r="9" spans="1:12" x14ac:dyDescent="0.2">
      <c r="A9" s="145" t="s">
        <v>199</v>
      </c>
      <c r="B9" s="145">
        <f>IF(Illumination!$L$3=3,1,0)</f>
        <v>1</v>
      </c>
      <c r="C9" s="145">
        <f>IF(Illumination!L6=1,1,0)</f>
        <v>1</v>
      </c>
      <c r="D9" s="145">
        <v>1</v>
      </c>
      <c r="E9" s="145">
        <f t="shared" si="0"/>
        <v>1</v>
      </c>
      <c r="F9" s="151" t="s">
        <v>198</v>
      </c>
    </row>
    <row r="10" spans="1:12" x14ac:dyDescent="0.2">
      <c r="B10" s="145">
        <f>IF(Illumination!$L$3=3,1,0)</f>
        <v>1</v>
      </c>
      <c r="C10" s="145">
        <f>IF(Illumination!L6=2,1,0)</f>
        <v>0</v>
      </c>
      <c r="D10" s="145">
        <f>IF(Illumination!L9=1,1,0)</f>
        <v>0</v>
      </c>
      <c r="E10" s="145">
        <f t="shared" si="0"/>
        <v>0</v>
      </c>
      <c r="F10" s="157" t="s">
        <v>197</v>
      </c>
    </row>
    <row r="11" spans="1:12" x14ac:dyDescent="0.2">
      <c r="B11" s="145">
        <f>IF(Illumination!$L$3=3,1,0)</f>
        <v>1</v>
      </c>
      <c r="C11" s="145">
        <f>IF(Illumination!L6=2,1,0)</f>
        <v>0</v>
      </c>
      <c r="D11" s="145">
        <f>IF(Illumination!L9=2,1,0)</f>
        <v>1</v>
      </c>
      <c r="E11" s="145">
        <f t="shared" si="0"/>
        <v>0</v>
      </c>
      <c r="F11" s="151" t="s">
        <v>196</v>
      </c>
    </row>
    <row r="14" spans="1:12" x14ac:dyDescent="0.2">
      <c r="A14" s="148" t="s">
        <v>108</v>
      </c>
    </row>
    <row r="15" spans="1:12" x14ac:dyDescent="0.2">
      <c r="A15" s="144" t="s">
        <v>195</v>
      </c>
      <c r="B15" s="144" t="s">
        <v>194</v>
      </c>
      <c r="D15" s="156" t="str">
        <f>F3</f>
        <v>1.1.1</v>
      </c>
      <c r="E15" s="156" t="str">
        <f>F4</f>
        <v>1.1.2</v>
      </c>
      <c r="F15" s="155" t="str">
        <f>F5</f>
        <v>1.2</v>
      </c>
      <c r="G15" s="144" t="str">
        <f>F6</f>
        <v>2.1.1</v>
      </c>
      <c r="H15" s="144" t="str">
        <f>F7</f>
        <v>2.1.2</v>
      </c>
      <c r="I15" s="155" t="str">
        <f>F8</f>
        <v>2.2</v>
      </c>
      <c r="J15" s="144" t="str">
        <f>F9</f>
        <v>3.1</v>
      </c>
      <c r="K15" s="144" t="str">
        <f>F10</f>
        <v>3.2.1</v>
      </c>
      <c r="L15" s="144" t="str">
        <f>F11</f>
        <v>3.2.2</v>
      </c>
    </row>
    <row r="16" spans="1:12" x14ac:dyDescent="0.2">
      <c r="D16" s="145">
        <f>E3</f>
        <v>0</v>
      </c>
      <c r="E16" s="145">
        <f>E4</f>
        <v>0</v>
      </c>
      <c r="F16" s="145">
        <f>E5</f>
        <v>0</v>
      </c>
      <c r="G16" s="145">
        <f>E6</f>
        <v>0</v>
      </c>
      <c r="H16" s="145">
        <f>E7</f>
        <v>0</v>
      </c>
      <c r="I16" s="145">
        <f>E8</f>
        <v>0</v>
      </c>
      <c r="J16" s="145">
        <f>E9</f>
        <v>1</v>
      </c>
      <c r="K16" s="145">
        <f>E10</f>
        <v>0</v>
      </c>
      <c r="L16" s="145">
        <f>E11</f>
        <v>0</v>
      </c>
    </row>
    <row r="17" spans="1:20" ht="9.75" customHeight="1" x14ac:dyDescent="0.2">
      <c r="D17" s="145"/>
      <c r="E17" s="145"/>
      <c r="F17" s="145"/>
      <c r="G17" s="145"/>
      <c r="H17" s="145"/>
      <c r="I17" s="145"/>
      <c r="J17" s="145"/>
      <c r="K17" s="145"/>
      <c r="L17" s="145"/>
    </row>
    <row r="18" spans="1:20" x14ac:dyDescent="0.2">
      <c r="A18" s="144" t="s">
        <v>193</v>
      </c>
      <c r="B18" s="144" t="s">
        <v>192</v>
      </c>
      <c r="D18" s="144">
        <v>1</v>
      </c>
      <c r="E18" s="144">
        <v>1</v>
      </c>
      <c r="H18" s="144">
        <v>1</v>
      </c>
      <c r="L18" s="144">
        <v>1</v>
      </c>
    </row>
    <row r="19" spans="1:20" x14ac:dyDescent="0.2">
      <c r="A19" s="144" t="s">
        <v>191</v>
      </c>
      <c r="B19" s="144" t="s">
        <v>190</v>
      </c>
      <c r="E19" s="144">
        <v>1</v>
      </c>
    </row>
    <row r="20" spans="1:20" x14ac:dyDescent="0.2">
      <c r="A20" s="144" t="s">
        <v>189</v>
      </c>
      <c r="B20" s="144" t="s">
        <v>188</v>
      </c>
      <c r="F20" s="144">
        <v>1</v>
      </c>
    </row>
    <row r="21" spans="1:20" x14ac:dyDescent="0.2">
      <c r="A21" s="144" t="s">
        <v>187</v>
      </c>
      <c r="B21" s="144" t="s">
        <v>186</v>
      </c>
      <c r="K21" s="144">
        <v>1</v>
      </c>
      <c r="L21" s="144">
        <v>1</v>
      </c>
    </row>
    <row r="22" spans="1:20" x14ac:dyDescent="0.2">
      <c r="A22" s="144" t="s">
        <v>185</v>
      </c>
      <c r="B22" s="144" t="s">
        <v>184</v>
      </c>
      <c r="G22" s="144">
        <v>1</v>
      </c>
      <c r="H22" s="144">
        <v>1</v>
      </c>
      <c r="I22" s="144">
        <v>1</v>
      </c>
      <c r="K22" s="144">
        <v>1</v>
      </c>
    </row>
    <row r="23" spans="1:20" x14ac:dyDescent="0.2">
      <c r="A23" s="144" t="s">
        <v>183</v>
      </c>
      <c r="B23" s="236" t="s">
        <v>268</v>
      </c>
      <c r="E23" s="145"/>
      <c r="F23" s="145"/>
      <c r="G23" s="145">
        <v>1</v>
      </c>
      <c r="H23" s="145">
        <v>1</v>
      </c>
      <c r="I23" s="145"/>
      <c r="J23" s="145"/>
      <c r="K23" s="145">
        <v>1</v>
      </c>
      <c r="L23" s="145"/>
    </row>
    <row r="24" spans="1:20" x14ac:dyDescent="0.2">
      <c r="A24" s="144" t="s">
        <v>182</v>
      </c>
      <c r="B24" s="144" t="s">
        <v>181</v>
      </c>
      <c r="J24" s="144">
        <v>1</v>
      </c>
    </row>
    <row r="26" spans="1:20" x14ac:dyDescent="0.2">
      <c r="A26" s="148" t="s">
        <v>180</v>
      </c>
    </row>
    <row r="27" spans="1:20" ht="10.5" customHeight="1" x14ac:dyDescent="0.2">
      <c r="B27" s="154" t="s">
        <v>179</v>
      </c>
      <c r="C27" s="153" t="s">
        <v>178</v>
      </c>
      <c r="N27" s="144" t="s">
        <v>177</v>
      </c>
      <c r="P27" s="148" t="s">
        <v>176</v>
      </c>
      <c r="Q27" s="148" t="s">
        <v>175</v>
      </c>
      <c r="S27" s="144" t="s">
        <v>168</v>
      </c>
      <c r="T27" s="144" t="s">
        <v>167</v>
      </c>
    </row>
    <row r="28" spans="1:20" x14ac:dyDescent="0.2">
      <c r="A28" s="144" t="str">
        <f t="shared" ref="A28:B34" si="1">A18</f>
        <v>Seitliches Auflicht</v>
      </c>
      <c r="B28" s="144" t="str">
        <f t="shared" si="1"/>
        <v>Incident Light</v>
      </c>
      <c r="C28" s="144" t="str">
        <f t="shared" ref="C28:C34" si="2">C27</f>
        <v xml:space="preserve">, </v>
      </c>
      <c r="D28" s="144">
        <f t="shared" ref="D28:D34" si="3">$D$16*D18</f>
        <v>0</v>
      </c>
      <c r="E28" s="144">
        <f t="shared" ref="E28:E34" si="4">$E$16*E18</f>
        <v>0</v>
      </c>
      <c r="F28" s="144">
        <f t="shared" ref="F28:F34" si="5">$F$16*F18</f>
        <v>0</v>
      </c>
      <c r="G28" s="144">
        <f t="shared" ref="G28:G34" si="6">$G$16*G18</f>
        <v>0</v>
      </c>
      <c r="H28" s="144">
        <f t="shared" ref="H28:H34" si="7">$H$16*H18</f>
        <v>0</v>
      </c>
      <c r="I28" s="144">
        <f t="shared" ref="I28:I34" si="8">$I$16*I18</f>
        <v>0</v>
      </c>
      <c r="J28" s="144">
        <f t="shared" ref="J28:J34" si="9">$J$16*J18</f>
        <v>0</v>
      </c>
      <c r="K28" s="144">
        <f t="shared" ref="K28:K34" si="10">$K$16*K18</f>
        <v>0</v>
      </c>
      <c r="L28" s="144">
        <f t="shared" ref="L28:L34" si="11">$L$16*L18</f>
        <v>0</v>
      </c>
      <c r="N28" s="144">
        <f t="shared" ref="N28:N34" si="12">SUM(D28:L28)</f>
        <v>0</v>
      </c>
      <c r="O28" s="144">
        <f>N28</f>
        <v>0</v>
      </c>
      <c r="P28" s="144" t="str">
        <f t="shared" ref="P28:P34" si="13">$P$27</f>
        <v>(</v>
      </c>
      <c r="Q28" s="144" t="str">
        <f t="shared" ref="Q28:Q34" si="14">$Q$27</f>
        <v xml:space="preserve">) </v>
      </c>
      <c r="R28" s="144" t="str">
        <f t="shared" ref="R28:R34" si="15">CONCATENATE(P28,O28,Q28)</f>
        <v xml:space="preserve">(0) </v>
      </c>
      <c r="S28" s="144" t="str">
        <f t="shared" ref="S28:S34" si="16">IF(N28=0,"",CONCATENATE(R28,B28,C28))</f>
        <v/>
      </c>
      <c r="T28" s="144" t="str">
        <f t="shared" ref="T28:T34" si="17">IF(N28=0,"",CONCATENATE(R28,A28,C28))</f>
        <v/>
      </c>
    </row>
    <row r="29" spans="1:20" x14ac:dyDescent="0.2">
      <c r="A29" s="144" t="str">
        <f t="shared" si="1"/>
        <v>Direktes Auflicht</v>
      </c>
      <c r="B29" s="144" t="str">
        <f t="shared" si="1"/>
        <v>Direct Front Illumination</v>
      </c>
      <c r="C29" s="144" t="str">
        <f t="shared" si="2"/>
        <v xml:space="preserve">, </v>
      </c>
      <c r="D29" s="144">
        <f t="shared" si="3"/>
        <v>0</v>
      </c>
      <c r="E29" s="144">
        <f t="shared" si="4"/>
        <v>0</v>
      </c>
      <c r="F29" s="144">
        <f t="shared" si="5"/>
        <v>0</v>
      </c>
      <c r="G29" s="144">
        <f t="shared" si="6"/>
        <v>0</v>
      </c>
      <c r="H29" s="144">
        <f t="shared" si="7"/>
        <v>0</v>
      </c>
      <c r="I29" s="144">
        <f t="shared" si="8"/>
        <v>0</v>
      </c>
      <c r="J29" s="144">
        <f t="shared" si="9"/>
        <v>0</v>
      </c>
      <c r="K29" s="144">
        <f t="shared" si="10"/>
        <v>0</v>
      </c>
      <c r="L29" s="144">
        <f t="shared" si="11"/>
        <v>0</v>
      </c>
      <c r="N29" s="144">
        <f t="shared" si="12"/>
        <v>0</v>
      </c>
      <c r="O29" s="144">
        <f t="shared" ref="O29:O34" si="18">O28+N29</f>
        <v>0</v>
      </c>
      <c r="P29" s="144" t="str">
        <f t="shared" si="13"/>
        <v>(</v>
      </c>
      <c r="Q29" s="144" t="str">
        <f t="shared" si="14"/>
        <v xml:space="preserve">) </v>
      </c>
      <c r="R29" s="144" t="str">
        <f t="shared" si="15"/>
        <v xml:space="preserve">(0) </v>
      </c>
      <c r="S29" s="144" t="str">
        <f t="shared" si="16"/>
        <v/>
      </c>
      <c r="T29" s="144" t="str">
        <f t="shared" si="17"/>
        <v/>
      </c>
    </row>
    <row r="30" spans="1:20" x14ac:dyDescent="0.2">
      <c r="A30" s="144" t="str">
        <f t="shared" si="1"/>
        <v>Dombeleuchtung</v>
      </c>
      <c r="B30" s="144" t="str">
        <f t="shared" si="1"/>
        <v>Dome Illumination</v>
      </c>
      <c r="C30" s="144" t="str">
        <f t="shared" si="2"/>
        <v xml:space="preserve">, </v>
      </c>
      <c r="D30" s="144">
        <f t="shared" si="3"/>
        <v>0</v>
      </c>
      <c r="E30" s="144">
        <f t="shared" si="4"/>
        <v>0</v>
      </c>
      <c r="F30" s="144">
        <f t="shared" si="5"/>
        <v>0</v>
      </c>
      <c r="G30" s="144">
        <f t="shared" si="6"/>
        <v>0</v>
      </c>
      <c r="H30" s="144">
        <f t="shared" si="7"/>
        <v>0</v>
      </c>
      <c r="I30" s="144">
        <f t="shared" si="8"/>
        <v>0</v>
      </c>
      <c r="J30" s="144">
        <f t="shared" si="9"/>
        <v>0</v>
      </c>
      <c r="K30" s="144">
        <f t="shared" si="10"/>
        <v>0</v>
      </c>
      <c r="L30" s="144">
        <f t="shared" si="11"/>
        <v>0</v>
      </c>
      <c r="N30" s="144">
        <f t="shared" si="12"/>
        <v>0</v>
      </c>
      <c r="O30" s="144">
        <f t="shared" si="18"/>
        <v>0</v>
      </c>
      <c r="P30" s="144" t="str">
        <f t="shared" si="13"/>
        <v>(</v>
      </c>
      <c r="Q30" s="144" t="str">
        <f t="shared" si="14"/>
        <v xml:space="preserve">) </v>
      </c>
      <c r="R30" s="144" t="str">
        <f t="shared" si="15"/>
        <v xml:space="preserve">(0) </v>
      </c>
      <c r="S30" s="144" t="str">
        <f t="shared" si="16"/>
        <v/>
      </c>
      <c r="T30" s="144" t="str">
        <f t="shared" si="17"/>
        <v/>
      </c>
    </row>
    <row r="31" spans="1:20" x14ac:dyDescent="0.2">
      <c r="A31" s="144" t="str">
        <f t="shared" si="1"/>
        <v>Dunkelfeldbeleuchtung</v>
      </c>
      <c r="B31" s="144" t="str">
        <f t="shared" si="1"/>
        <v>Dark Field Illumination</v>
      </c>
      <c r="C31" s="144" t="str">
        <f t="shared" si="2"/>
        <v xml:space="preserve">, </v>
      </c>
      <c r="D31" s="144">
        <f t="shared" si="3"/>
        <v>0</v>
      </c>
      <c r="E31" s="144">
        <f t="shared" si="4"/>
        <v>0</v>
      </c>
      <c r="F31" s="144">
        <f t="shared" si="5"/>
        <v>0</v>
      </c>
      <c r="G31" s="144">
        <f t="shared" si="6"/>
        <v>0</v>
      </c>
      <c r="H31" s="144">
        <f t="shared" si="7"/>
        <v>0</v>
      </c>
      <c r="I31" s="144">
        <f t="shared" si="8"/>
        <v>0</v>
      </c>
      <c r="J31" s="144">
        <f t="shared" si="9"/>
        <v>0</v>
      </c>
      <c r="K31" s="144">
        <f t="shared" si="10"/>
        <v>0</v>
      </c>
      <c r="L31" s="144">
        <f t="shared" si="11"/>
        <v>0</v>
      </c>
      <c r="N31" s="144">
        <f t="shared" si="12"/>
        <v>0</v>
      </c>
      <c r="O31" s="144">
        <f t="shared" si="18"/>
        <v>0</v>
      </c>
      <c r="P31" s="144" t="str">
        <f t="shared" si="13"/>
        <v>(</v>
      </c>
      <c r="Q31" s="144" t="str">
        <f t="shared" si="14"/>
        <v xml:space="preserve">) </v>
      </c>
      <c r="R31" s="144" t="str">
        <f t="shared" si="15"/>
        <v xml:space="preserve">(0) </v>
      </c>
      <c r="S31" s="144" t="str">
        <f t="shared" si="16"/>
        <v/>
      </c>
      <c r="T31" s="144" t="str">
        <f t="shared" si="17"/>
        <v/>
      </c>
    </row>
    <row r="32" spans="1:20" x14ac:dyDescent="0.2">
      <c r="A32" s="144" t="str">
        <f t="shared" si="1"/>
        <v>Koaxialbeleuchtung</v>
      </c>
      <c r="B32" s="144" t="str">
        <f t="shared" si="1"/>
        <v>Coaxial Illumination</v>
      </c>
      <c r="C32" s="144" t="str">
        <f t="shared" si="2"/>
        <v xml:space="preserve">, </v>
      </c>
      <c r="D32" s="144">
        <f t="shared" si="3"/>
        <v>0</v>
      </c>
      <c r="E32" s="144">
        <f t="shared" si="4"/>
        <v>0</v>
      </c>
      <c r="F32" s="144">
        <f t="shared" si="5"/>
        <v>0</v>
      </c>
      <c r="G32" s="144">
        <f t="shared" si="6"/>
        <v>0</v>
      </c>
      <c r="H32" s="144">
        <f t="shared" si="7"/>
        <v>0</v>
      </c>
      <c r="I32" s="144">
        <f t="shared" si="8"/>
        <v>0</v>
      </c>
      <c r="J32" s="144">
        <f t="shared" si="9"/>
        <v>0</v>
      </c>
      <c r="K32" s="144">
        <f t="shared" si="10"/>
        <v>0</v>
      </c>
      <c r="L32" s="144">
        <f t="shared" si="11"/>
        <v>0</v>
      </c>
      <c r="N32" s="144">
        <f t="shared" si="12"/>
        <v>0</v>
      </c>
      <c r="O32" s="144">
        <f t="shared" si="18"/>
        <v>0</v>
      </c>
      <c r="P32" s="144" t="str">
        <f t="shared" si="13"/>
        <v>(</v>
      </c>
      <c r="Q32" s="144" t="str">
        <f t="shared" si="14"/>
        <v xml:space="preserve">) </v>
      </c>
      <c r="R32" s="144" t="str">
        <f t="shared" si="15"/>
        <v xml:space="preserve">(0) </v>
      </c>
      <c r="S32" s="144" t="str">
        <f t="shared" si="16"/>
        <v/>
      </c>
      <c r="T32" s="144" t="str">
        <f t="shared" si="17"/>
        <v/>
      </c>
    </row>
    <row r="33" spans="1:20" x14ac:dyDescent="0.2">
      <c r="A33" s="144" t="str">
        <f t="shared" si="1"/>
        <v>Spiegelaufbau</v>
      </c>
      <c r="B33" s="144" t="str">
        <f>B23</f>
        <v>Mirror Solutions</v>
      </c>
      <c r="C33" s="144" t="str">
        <f t="shared" si="2"/>
        <v xml:space="preserve">, </v>
      </c>
      <c r="D33" s="144">
        <f t="shared" si="3"/>
        <v>0</v>
      </c>
      <c r="E33" s="144">
        <f t="shared" si="4"/>
        <v>0</v>
      </c>
      <c r="F33" s="144">
        <f t="shared" si="5"/>
        <v>0</v>
      </c>
      <c r="G33" s="144">
        <f t="shared" si="6"/>
        <v>0</v>
      </c>
      <c r="H33" s="144">
        <f t="shared" si="7"/>
        <v>0</v>
      </c>
      <c r="I33" s="144">
        <f t="shared" si="8"/>
        <v>0</v>
      </c>
      <c r="J33" s="144">
        <f t="shared" si="9"/>
        <v>0</v>
      </c>
      <c r="K33" s="144">
        <f t="shared" si="10"/>
        <v>0</v>
      </c>
      <c r="L33" s="144">
        <f t="shared" si="11"/>
        <v>0</v>
      </c>
      <c r="N33" s="144">
        <f t="shared" si="12"/>
        <v>0</v>
      </c>
      <c r="O33" s="144">
        <f t="shared" si="18"/>
        <v>0</v>
      </c>
      <c r="P33" s="144" t="str">
        <f t="shared" si="13"/>
        <v>(</v>
      </c>
      <c r="Q33" s="144" t="str">
        <f t="shared" si="14"/>
        <v xml:space="preserve">) </v>
      </c>
      <c r="R33" s="144" t="str">
        <f t="shared" si="15"/>
        <v xml:space="preserve">(0) </v>
      </c>
      <c r="S33" s="144" t="str">
        <f t="shared" si="16"/>
        <v/>
      </c>
      <c r="T33" s="144" t="str">
        <f t="shared" si="17"/>
        <v/>
      </c>
    </row>
    <row r="34" spans="1:20" x14ac:dyDescent="0.2">
      <c r="A34" s="144" t="str">
        <f t="shared" si="1"/>
        <v>Durchlicht / Backlight</v>
      </c>
      <c r="B34" s="144" t="str">
        <f t="shared" si="1"/>
        <v>Backlight</v>
      </c>
      <c r="C34" s="144" t="str">
        <f t="shared" si="2"/>
        <v xml:space="preserve">, </v>
      </c>
      <c r="D34" s="144">
        <f t="shared" si="3"/>
        <v>0</v>
      </c>
      <c r="E34" s="144">
        <f t="shared" si="4"/>
        <v>0</v>
      </c>
      <c r="F34" s="144">
        <f t="shared" si="5"/>
        <v>0</v>
      </c>
      <c r="G34" s="144">
        <f t="shared" si="6"/>
        <v>0</v>
      </c>
      <c r="H34" s="144">
        <f t="shared" si="7"/>
        <v>0</v>
      </c>
      <c r="I34" s="144">
        <f t="shared" si="8"/>
        <v>0</v>
      </c>
      <c r="J34" s="144">
        <f t="shared" si="9"/>
        <v>1</v>
      </c>
      <c r="K34" s="144">
        <f t="shared" si="10"/>
        <v>0</v>
      </c>
      <c r="L34" s="144">
        <f t="shared" si="11"/>
        <v>0</v>
      </c>
      <c r="N34" s="144">
        <f t="shared" si="12"/>
        <v>1</v>
      </c>
      <c r="O34" s="144">
        <f t="shared" si="18"/>
        <v>1</v>
      </c>
      <c r="P34" s="144" t="str">
        <f t="shared" si="13"/>
        <v>(</v>
      </c>
      <c r="Q34" s="144" t="str">
        <f t="shared" si="14"/>
        <v xml:space="preserve">) </v>
      </c>
      <c r="R34" s="144" t="str">
        <f t="shared" si="15"/>
        <v xml:space="preserve">(1) </v>
      </c>
      <c r="S34" s="144" t="str">
        <f t="shared" si="16"/>
        <v xml:space="preserve">(1) Backlight, </v>
      </c>
      <c r="T34" s="144" t="str">
        <f t="shared" si="17"/>
        <v xml:space="preserve">(1) Durchlicht / Backlight, </v>
      </c>
    </row>
    <row r="36" spans="1:20" x14ac:dyDescent="0.2">
      <c r="B36" s="144" t="s">
        <v>168</v>
      </c>
      <c r="F36" s="144" t="s">
        <v>167</v>
      </c>
    </row>
    <row r="37" spans="1:20" x14ac:dyDescent="0.2">
      <c r="A37" s="144" t="s">
        <v>174</v>
      </c>
      <c r="B37" s="144" t="str">
        <f>(CONCATENATE(S28,S29,S30,S31,S32,S33,S34))</f>
        <v xml:space="preserve">(1) Backlight, </v>
      </c>
      <c r="F37" s="144" t="str">
        <f>(CONCATENATE(T28,T29,T30,T31,T32,T33,T34))</f>
        <v xml:space="preserve">(1) Durchlicht / Backlight, </v>
      </c>
    </row>
    <row r="38" spans="1:20" x14ac:dyDescent="0.2">
      <c r="A38" s="144" t="s">
        <v>173</v>
      </c>
      <c r="B38" s="144">
        <f>LEN(B37)</f>
        <v>15</v>
      </c>
      <c r="F38" s="144">
        <f>LEN(F37)</f>
        <v>28</v>
      </c>
    </row>
    <row r="39" spans="1:20" x14ac:dyDescent="0.2">
      <c r="A39" s="144" t="s">
        <v>172</v>
      </c>
      <c r="B39" s="144">
        <f>LEN(C27)</f>
        <v>2</v>
      </c>
      <c r="F39" s="144">
        <f>LEN(C27)</f>
        <v>2</v>
      </c>
    </row>
    <row r="40" spans="1:20" x14ac:dyDescent="0.2">
      <c r="A40" s="144" t="s">
        <v>171</v>
      </c>
      <c r="B40" s="144">
        <f>B38-B39</f>
        <v>13</v>
      </c>
      <c r="F40" s="144">
        <f>F38-F39</f>
        <v>26</v>
      </c>
    </row>
    <row r="41" spans="1:20" x14ac:dyDescent="0.2">
      <c r="A41" s="144" t="s">
        <v>170</v>
      </c>
      <c r="B41" s="144" t="str">
        <f>LEFT(B37,B40)</f>
        <v>(1) Backlight</v>
      </c>
      <c r="F41" s="144" t="str">
        <f>LEFT(F37,F40)</f>
        <v>(1) Durchlicht / Backlight</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Copyright</vt:lpstr>
      <vt:lpstr>Lens</vt:lpstr>
      <vt:lpstr>Illumination</vt:lpstr>
      <vt:lpstr>Illumination Color</vt:lpstr>
      <vt:lpstr>InMotionUnsharpnessCalculator</vt:lpstr>
      <vt:lpstr>Berechnung InMotionUnsharpness</vt:lpstr>
      <vt:lpstr>Berechnung OpticFinder</vt:lpstr>
      <vt:lpstr>HW Daten</vt:lpstr>
      <vt:lpstr>Berechnung IlluFinder</vt:lpstr>
      <vt:lpstr>Tabelle1</vt:lpstr>
    </vt:vector>
  </TitlesOfParts>
  <Company>Baumer Optronic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msteinicke@baumer.com</dc:creator>
  <cp:lastModifiedBy>Steinicke Michael</cp:lastModifiedBy>
  <cp:lastPrinted>2013-08-14T15:17:03Z</cp:lastPrinted>
  <dcterms:created xsi:type="dcterms:W3CDTF">2006-11-15T11:55:39Z</dcterms:created>
  <dcterms:modified xsi:type="dcterms:W3CDTF">2020-04-01T10:53:39Z</dcterms:modified>
</cp:coreProperties>
</file>